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pivotTables/pivotTable3.xml" ContentType="application/vnd.openxmlformats-officedocument.spreadsheetml.pivotTable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2.xml" ContentType="application/vnd.openxmlformats-officedocument.spreadsheetml.pivotCacheDefinition+xml"/>
  <Override PartName="/xl/pivotCache/pivotCacheDefinition3.xml" ContentType="application/vnd.openxmlformats-officedocument.spreadsheetml.pivotCacheDefinitio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calcChain.xml" ContentType="application/vnd.openxmlformats-officedocument.spreadsheetml.calcChain+xml"/>
  <Override PartName="/xl/pivotCache/pivotCacheRecords3.xml" ContentType="application/vnd.openxmlformats-officedocument.spreadsheetml.pivotCacheRecords+xml"/>
  <Override PartName="/xl/sharedStrings.xml" ContentType="application/vnd.openxmlformats-officedocument.spreadsheetml.sharedStrings+xml"/>
  <Override PartName="/xl/pivotCache/pivotCacheRecords1.xml" ContentType="application/vnd.openxmlformats-officedocument.spreadsheetml.pivotCacheRecords+xml"/>
  <Override PartName="/xl/pivotCache/pivotCacheRecords2.xml" ContentType="application/vnd.openxmlformats-officedocument.spreadsheetml.pivotCacheRecord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hidePivotFieldList="1"/>
  <bookViews>
    <workbookView xWindow="240" yWindow="120" windowWidth="11700" windowHeight="6045" tabRatio="756" activeTab="1"/>
  </bookViews>
  <sheets>
    <sheet name="Committee Summary" sheetId="15" r:id="rId1"/>
    <sheet name="Reporting" sheetId="13" r:id="rId2"/>
    <sheet name="Sources&amp;Uses" sheetId="4" r:id="rId3"/>
    <sheet name="ReceiptsExpenditure" sheetId="3" r:id="rId4"/>
    <sheet name="HSBC Current Account" sheetId="2" r:id="rId5"/>
    <sheet name="HSBC Savings Account" sheetId="19" r:id="rId6"/>
    <sheet name="Cash on Hand" sheetId="16" r:id="rId7"/>
    <sheet name="Check sheet" sheetId="6" r:id="rId8"/>
    <sheet name="Committed Expenditure" sheetId="17" r:id="rId9"/>
    <sheet name="Coach Education" sheetId="20" r:id="rId10"/>
    <sheet name="Variables" sheetId="18" r:id="rId11"/>
  </sheets>
  <definedNames>
    <definedName name="_xlnm._FilterDatabase" localSheetId="3" hidden="1">ReceiptsExpenditure!$B$1:$B$137</definedName>
    <definedName name="All_expenditure">'Sources&amp;Uses'!$I$14:$I$31</definedName>
    <definedName name="All_sources">'Sources&amp;Uses'!$D$5:$D$33</definedName>
    <definedName name="Annual_awards_credit_total">ReceiptsExpenditure!$AP$120</definedName>
    <definedName name="Annual_awards_debit_total">ReceiptsExpenditure!$AQ$120</definedName>
    <definedName name="Bank_transaction_numbers" localSheetId="5">'HSBC Savings Account'!$C$4:$C$17</definedName>
    <definedName name="Bank_transaction_numbers">'HSBC Current Account'!$C$9:$C$113</definedName>
    <definedName name="BTF_AG_Credit">ReceiptsExpenditure!$Y$3:$Y$119</definedName>
    <definedName name="BTF_AG_credit_total">ReceiptsExpenditure!$Y$120</definedName>
    <definedName name="BTF_AG_Debit">ReceiptsExpenditure!$X$3:$X$119</definedName>
    <definedName name="BTF_AG_debit_total">ReceiptsExpenditure!$X$120</definedName>
    <definedName name="BTF_RG_credit_total">ReceiptsExpenditure!$W$120</definedName>
    <definedName name="BTF_RG_debit_total">ReceiptsExpenditure!$V$120</definedName>
    <definedName name="BTFRG_Credit">ReceiptsExpenditure!$W$3:$W$119</definedName>
    <definedName name="BTFRG_Debit">ReceiptsExpenditure!$V$3:$V$119</definedName>
    <definedName name="Cash_balance_ye">Variables!$C$54</definedName>
    <definedName name="Category">ReceiptsExpenditure!$G$3:$G$119</definedName>
    <definedName name="Closing_cash">'Cash on Hand'!$G$11</definedName>
    <definedName name="Club_accreditation_credit_total">ReceiptsExpenditure!$AG$120</definedName>
    <definedName name="Club_accreditation_debit_total">ReceiptsExpenditure!$AF$120</definedName>
    <definedName name="Club_quality_credit">ReceiptsExpenditure!$AM$120</definedName>
    <definedName name="Club_quality_debit">ReceiptsExpenditure!$AL$120</definedName>
    <definedName name="Coaching_credit_total">ReceiptsExpenditure!$U$120</definedName>
    <definedName name="Coaching_debit_total">ReceiptsExpenditure!$T$120</definedName>
    <definedName name="Credit">ReceiptsExpenditure!$J$3:$J$119</definedName>
    <definedName name="Debit">ReceiptsExpenditure!$I$3:$I$119</definedName>
    <definedName name="Event_name">ReceiptsExpenditure!$E$3:$E$119</definedName>
    <definedName name="Event_quality_credit">ReceiptsExpenditure!$AK$120</definedName>
    <definedName name="Event_quality_debit">ReceiptsExpenditure!$AJ$120</definedName>
    <definedName name="Expenditure_headings">Variables!$H$10:$H$48</definedName>
    <definedName name="HSBC_closing_balance" localSheetId="5">'HSBC Savings Account'!$G$17</definedName>
    <definedName name="HSBC_closing_balance">'HSBC Current Account'!$G$113</definedName>
    <definedName name="HSBC_closing_balance_savings">'HSBC Savings Account'!$G$17</definedName>
    <definedName name="HSBC_credit_total" localSheetId="5">'HSBC Savings Account'!$F$19</definedName>
    <definedName name="HSBC_credit_total">'HSBC Current Account'!$F$115</definedName>
    <definedName name="HSBC_debit_totals" localSheetId="5">'HSBC Savings Account'!$E$19</definedName>
    <definedName name="HSBC_debit_totals">'HSBC Current Account'!$E$115</definedName>
    <definedName name="HSBC_opening_balance" localSheetId="5">'HSBC Savings Account'!$G$4</definedName>
    <definedName name="HSBC_opening_balance">'HSBC Current Account'!$G$9</definedName>
    <definedName name="HSBC_savings_closing_balance">'HSBC Savings Account'!$G$17</definedName>
    <definedName name="HSBC_statement_balance_ye">Variables!$C$53</definedName>
    <definedName name="HU_DO_credit_total">ReceiptsExpenditure!$AA$120</definedName>
    <definedName name="HU_DO_debit_total">ReceiptsExpenditure!$Z$120</definedName>
    <definedName name="HU_WFD_debit_total">ReceiptsExpenditure!$AB$120</definedName>
    <definedName name="IRC_Credit">ReceiptsExpenditure!$S$3:$S$119</definedName>
    <definedName name="IRC_credit_total">ReceiptsExpenditure!$S$120</definedName>
    <definedName name="IRC_Debit">ReceiptsExpenditure!$R$3:$R$119</definedName>
    <definedName name="IRC_debit_total">ReceiptsExpenditure!$R$120</definedName>
    <definedName name="lst_Category">OFFSET(Variables!$H$6,0,0,COUNTA(Variables!$H$6:$H$52),1)</definedName>
    <definedName name="lst_Event">OFFSET(Variables!$G$6,0,0,COUNTA(Variables!$G$6:$G$15),1)</definedName>
    <definedName name="lst_Prior_year_values">OFFSET(Variables!$B$37,0,0,COUNTA(Variables!$B$37:$B$47),2)</definedName>
    <definedName name="Misc_Credit">ReceiptsExpenditure!$O$3:$O$119</definedName>
    <definedName name="Misc_credit_total">ReceiptsExpenditure!$O$120</definedName>
    <definedName name="Misc_Debit">ReceiptsExpenditure!$N$3:$N$119</definedName>
    <definedName name="Misc_Debit_total">ReceiptsExpenditure!$N$120</definedName>
    <definedName name="Months">Variables!$B$5:$C$16</definedName>
    <definedName name="Officiating_credit_total">ReceiptsExpenditure!$AO$120</definedName>
    <definedName name="Officiating_debit_total">ReceiptsExpenditure!$AN$120</definedName>
    <definedName name="Opening_cash">'Cash on Hand'!$G$3</definedName>
    <definedName name="_xlnm.Print_Area" localSheetId="3">ReceiptsExpenditure!$A$1:$J$124</definedName>
    <definedName name="_xlnm.Print_Titles" localSheetId="3">ReceiptsExpenditure!$1:$2</definedName>
    <definedName name="Qual_vol_credit_total">ReceiptsExpenditure!$AC$120</definedName>
    <definedName name="Qual_vol_debit_total">ReceiptsExpenditure!$AB$120</definedName>
    <definedName name="RandE_number">ReceiptsExpenditure!$B$3:$B$119</definedName>
    <definedName name="Re_credit_total">ReceiptsExpenditure!$AS$120</definedName>
    <definedName name="Re_debit_total">ReceiptsExpenditure!$AR$120</definedName>
    <definedName name="Report_end_date">Variables!$C$19</definedName>
    <definedName name="Schools_aqua_credit_total">ReceiptsExpenditure!$AE$120</definedName>
    <definedName name="Schools_aqua_debit_total">ReceiptsExpenditure!$AD$120</definedName>
    <definedName name="Subs_Credit">ReceiptsExpenditure!$W$3:$W$119</definedName>
    <definedName name="Subs_Debit">ReceiptsExpenditure!$V$3:$V$119</definedName>
    <definedName name="Summary_headings">OFFSET(Variables!$K$6,0,0,COUNTA(Variables!$K$6:$K$29),1)</definedName>
    <definedName name="Talent_academy_credit" localSheetId="5">ReceiptsExpenditure!#REF!</definedName>
    <definedName name="Talent_academy_credit">ReceiptsExpenditure!#REF!</definedName>
    <definedName name="Talent_academy_debit" localSheetId="5">ReceiptsExpenditure!#REF!</definedName>
    <definedName name="Talent_academy_debit">ReceiptsExpenditure!#REF!</definedName>
    <definedName name="Total_general_expenditure">'Sources&amp;Uses'!$J$22</definedName>
    <definedName name="Total_general_receipts">'Sources&amp;Uses'!$E$22</definedName>
    <definedName name="Total_interest">ReceiptsExpenditure!$AI$120</definedName>
    <definedName name="Total_special_events">'Sources&amp;Uses'!$E$34</definedName>
    <definedName name="Total_special_expenditure">'Sources&amp;Uses'!$J$34</definedName>
    <definedName name="Transaction_credit">ReceiptsExpenditure!$J$3:$J$119</definedName>
    <definedName name="Transaction_debit">ReceiptsExpenditure!$I$3:$I$119</definedName>
    <definedName name="Transaction_detail">ReceiptsExpenditure!$I$3:$J$119</definedName>
    <definedName name="Transaction_Number">ReceiptsExpenditure!$B$3:$B$119</definedName>
    <definedName name="Year_value">Variables!$B$2</definedName>
  </definedNames>
  <calcPr calcId="125725" concurrentCalc="0"/>
  <pivotCaches>
    <pivotCache cacheId="8" r:id="rId12"/>
    <pivotCache cacheId="13" r:id="rId13"/>
    <pivotCache cacheId="17" r:id="rId14"/>
  </pivotCaches>
</workbook>
</file>

<file path=xl/calcChain.xml><?xml version="1.0" encoding="utf-8"?>
<calcChain xmlns="http://schemas.openxmlformats.org/spreadsheetml/2006/main">
  <c r="I26" i="4"/>
  <c r="I27"/>
  <c r="I28"/>
  <c r="I29"/>
  <c r="I30"/>
  <c r="I31"/>
  <c r="I32"/>
  <c r="J34"/>
  <c r="AR19" i="3"/>
  <c r="AS19"/>
  <c r="K19"/>
  <c r="M19"/>
  <c r="AR20"/>
  <c r="AS20"/>
  <c r="K20"/>
  <c r="M20"/>
  <c r="G95" i="2"/>
  <c r="J95"/>
  <c r="G96"/>
  <c r="J96"/>
  <c r="G97"/>
  <c r="J97"/>
  <c r="G98"/>
  <c r="J98"/>
  <c r="G99"/>
  <c r="J99"/>
  <c r="AR22" i="3"/>
  <c r="AS22"/>
  <c r="K22"/>
  <c r="M22"/>
  <c r="G3" i="2"/>
  <c r="G7"/>
  <c r="G9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100"/>
  <c r="G101"/>
  <c r="G102"/>
  <c r="G103"/>
  <c r="G104"/>
  <c r="G105"/>
  <c r="G106"/>
  <c r="J106"/>
  <c r="G107"/>
  <c r="J107"/>
  <c r="G108"/>
  <c r="J108"/>
  <c r="G109"/>
  <c r="J109"/>
  <c r="AR6" i="3"/>
  <c r="AS6"/>
  <c r="AR7"/>
  <c r="AS7"/>
  <c r="AR8"/>
  <c r="AS8"/>
  <c r="AR9"/>
  <c r="AS9"/>
  <c r="AR10"/>
  <c r="AS10"/>
  <c r="AR11"/>
  <c r="AS11"/>
  <c r="AR12"/>
  <c r="AS12"/>
  <c r="AR13"/>
  <c r="AS13"/>
  <c r="AR14"/>
  <c r="AS14"/>
  <c r="AR15"/>
  <c r="AS15"/>
  <c r="AR16"/>
  <c r="AS16"/>
  <c r="AR17"/>
  <c r="AS17"/>
  <c r="AR18"/>
  <c r="AS18"/>
  <c r="AR21"/>
  <c r="AS21"/>
  <c r="AR23"/>
  <c r="AS23"/>
  <c r="AR24"/>
  <c r="AS24"/>
  <c r="AR25"/>
  <c r="AS25"/>
  <c r="AR26"/>
  <c r="AS26"/>
  <c r="AR27"/>
  <c r="AS27"/>
  <c r="AR28"/>
  <c r="AS28"/>
  <c r="AR29"/>
  <c r="AS29"/>
  <c r="AR30"/>
  <c r="AS30"/>
  <c r="AR31"/>
  <c r="AS31"/>
  <c r="AR32"/>
  <c r="AS32"/>
  <c r="AR33"/>
  <c r="AS33"/>
  <c r="AR34"/>
  <c r="AS34"/>
  <c r="AR35"/>
  <c r="AS35"/>
  <c r="AR36"/>
  <c r="AS36"/>
  <c r="K6"/>
  <c r="M6"/>
  <c r="K7"/>
  <c r="M7"/>
  <c r="K8"/>
  <c r="M8"/>
  <c r="K9"/>
  <c r="M9"/>
  <c r="K10"/>
  <c r="M10"/>
  <c r="K11"/>
  <c r="M11"/>
  <c r="K12"/>
  <c r="M12"/>
  <c r="K13"/>
  <c r="M13"/>
  <c r="K14"/>
  <c r="M14"/>
  <c r="K15"/>
  <c r="M15"/>
  <c r="K16"/>
  <c r="M16"/>
  <c r="K17"/>
  <c r="M17"/>
  <c r="K18"/>
  <c r="M18"/>
  <c r="K21"/>
  <c r="M21"/>
  <c r="K23"/>
  <c r="M23"/>
  <c r="K24"/>
  <c r="M24"/>
  <c r="K25"/>
  <c r="M25"/>
  <c r="K26"/>
  <c r="M26"/>
  <c r="K27"/>
  <c r="M27"/>
  <c r="K28"/>
  <c r="M28"/>
  <c r="K29"/>
  <c r="M29"/>
  <c r="K30"/>
  <c r="M30"/>
  <c r="K31"/>
  <c r="M31"/>
  <c r="K32"/>
  <c r="M32"/>
  <c r="K33"/>
  <c r="M33"/>
  <c r="K34"/>
  <c r="M34"/>
  <c r="K35"/>
  <c r="M35"/>
  <c r="K36"/>
  <c r="M36"/>
  <c r="K37"/>
  <c r="M37"/>
  <c r="K38"/>
  <c r="M38"/>
  <c r="J100" i="2"/>
  <c r="J101"/>
  <c r="J102"/>
  <c r="J103"/>
  <c r="J104"/>
  <c r="J105"/>
  <c r="J91"/>
  <c r="J92"/>
  <c r="J93"/>
  <c r="J94"/>
  <c r="G110"/>
  <c r="J110"/>
  <c r="J87"/>
  <c r="J88"/>
  <c r="J89"/>
  <c r="J90"/>
  <c r="J82"/>
  <c r="J83"/>
  <c r="J84"/>
  <c r="J85"/>
  <c r="J86"/>
  <c r="J79"/>
  <c r="J80"/>
  <c r="J81"/>
  <c r="AR54" i="3"/>
  <c r="AS54"/>
  <c r="K54"/>
  <c r="M54"/>
  <c r="J55" i="2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AR47" i="3"/>
  <c r="AS47"/>
  <c r="K47"/>
  <c r="M47"/>
  <c r="J74" i="2"/>
  <c r="C19" i="18"/>
  <c r="C122" i="2"/>
  <c r="C123"/>
  <c r="C121"/>
  <c r="C120"/>
  <c r="B131" i="3"/>
  <c r="B128"/>
  <c r="J12" i="2"/>
  <c r="J13"/>
  <c r="J14"/>
  <c r="J15"/>
  <c r="J75"/>
  <c r="J76"/>
  <c r="J77"/>
  <c r="J78"/>
  <c r="G111"/>
  <c r="J111"/>
  <c r="AR37" i="3"/>
  <c r="AS37"/>
  <c r="AR38"/>
  <c r="AS38"/>
  <c r="AR39"/>
  <c r="AS39"/>
  <c r="AR40"/>
  <c r="AS40"/>
  <c r="AR41"/>
  <c r="AS41"/>
  <c r="AR42"/>
  <c r="AS42"/>
  <c r="K39"/>
  <c r="M39"/>
  <c r="K40"/>
  <c r="M40"/>
  <c r="K41"/>
  <c r="M41"/>
  <c r="K42"/>
  <c r="M42"/>
  <c r="K43"/>
  <c r="M43"/>
  <c r="K44"/>
  <c r="M44"/>
  <c r="K45"/>
  <c r="M45"/>
  <c r="K46"/>
  <c r="M46"/>
  <c r="AR61"/>
  <c r="AS61"/>
  <c r="AR62"/>
  <c r="AS62"/>
  <c r="K62"/>
  <c r="M62"/>
  <c r="K61"/>
  <c r="M61"/>
  <c r="AR64"/>
  <c r="AS64"/>
  <c r="AR65"/>
  <c r="AS65"/>
  <c r="K65"/>
  <c r="M65"/>
  <c r="K64"/>
  <c r="M64"/>
  <c r="AR59"/>
  <c r="AS59"/>
  <c r="K59"/>
  <c r="M59"/>
  <c r="AR57"/>
  <c r="AS57"/>
  <c r="AR58"/>
  <c r="AS58"/>
  <c r="AR60"/>
  <c r="AS60"/>
  <c r="AR63"/>
  <c r="AS63"/>
  <c r="K57"/>
  <c r="M57"/>
  <c r="K58"/>
  <c r="M58"/>
  <c r="K60"/>
  <c r="M60"/>
  <c r="K63"/>
  <c r="M63"/>
  <c r="AR72"/>
  <c r="AS72"/>
  <c r="AR73"/>
  <c r="AS73"/>
  <c r="AR74"/>
  <c r="AS74"/>
  <c r="AR75"/>
  <c r="AS75"/>
  <c r="K75"/>
  <c r="M75"/>
  <c r="K72"/>
  <c r="M72"/>
  <c r="K73"/>
  <c r="M73"/>
  <c r="K74"/>
  <c r="M74"/>
  <c r="AR66"/>
  <c r="AS66"/>
  <c r="AR67"/>
  <c r="AS67"/>
  <c r="AR68"/>
  <c r="AS68"/>
  <c r="AR69"/>
  <c r="AS69"/>
  <c r="AR70"/>
  <c r="AS70"/>
  <c r="AR71"/>
  <c r="AS71"/>
  <c r="AR76"/>
  <c r="AS76"/>
  <c r="AR77"/>
  <c r="AS77"/>
  <c r="AR78"/>
  <c r="AS78"/>
  <c r="AR79"/>
  <c r="AS79"/>
  <c r="AR80"/>
  <c r="AS80"/>
  <c r="AR81"/>
  <c r="AS81"/>
  <c r="AR82"/>
  <c r="AS82"/>
  <c r="AR83"/>
  <c r="AS83"/>
  <c r="K66"/>
  <c r="M66"/>
  <c r="K77"/>
  <c r="M77"/>
  <c r="K83"/>
  <c r="M83"/>
  <c r="G13" i="19"/>
  <c r="G14"/>
  <c r="G15"/>
  <c r="G16"/>
  <c r="G17"/>
  <c r="I19"/>
  <c r="G112" i="2"/>
  <c r="J112"/>
  <c r="J54"/>
  <c r="J52"/>
  <c r="J53"/>
  <c r="J50"/>
  <c r="J51"/>
  <c r="G113"/>
  <c r="I115"/>
  <c r="J48"/>
  <c r="J49"/>
  <c r="AR55" i="3"/>
  <c r="U55"/>
  <c r="AS55"/>
  <c r="K55"/>
  <c r="M55"/>
  <c r="AR43"/>
  <c r="AS43"/>
  <c r="AR44"/>
  <c r="AS44"/>
  <c r="AR45"/>
  <c r="AS45"/>
  <c r="AR46"/>
  <c r="AS46"/>
  <c r="AR48"/>
  <c r="AS48"/>
  <c r="AR49"/>
  <c r="AS49"/>
  <c r="AR50"/>
  <c r="AS50"/>
  <c r="AR51"/>
  <c r="AS51"/>
  <c r="AR52"/>
  <c r="AS52"/>
  <c r="K48"/>
  <c r="K49"/>
  <c r="K50"/>
  <c r="K51"/>
  <c r="K52"/>
  <c r="AR53"/>
  <c r="AS53"/>
  <c r="AR56"/>
  <c r="AS56"/>
  <c r="K53"/>
  <c r="M53"/>
  <c r="K56"/>
  <c r="M56"/>
  <c r="K67"/>
  <c r="M67"/>
  <c r="K68"/>
  <c r="M68"/>
  <c r="K69"/>
  <c r="M69"/>
  <c r="K70"/>
  <c r="M70"/>
  <c r="K71"/>
  <c r="M71"/>
  <c r="K76"/>
  <c r="M76"/>
  <c r="K78"/>
  <c r="M78"/>
  <c r="K79"/>
  <c r="M79"/>
  <c r="J47" i="2"/>
  <c r="G10" i="15"/>
  <c r="F29" i="17"/>
  <c r="AR108" i="3"/>
  <c r="AS108"/>
  <c r="K108"/>
  <c r="M108"/>
  <c r="K80"/>
  <c r="M80"/>
  <c r="J46" i="2"/>
  <c r="J28"/>
  <c r="J29"/>
  <c r="J27"/>
  <c r="J20"/>
  <c r="J19"/>
  <c r="AQ120" i="3"/>
  <c r="D17" i="4"/>
  <c r="K114" i="3"/>
  <c r="M114"/>
  <c r="K115"/>
  <c r="M115"/>
  <c r="K116"/>
  <c r="M116"/>
  <c r="K117"/>
  <c r="M117"/>
  <c r="K109"/>
  <c r="M109"/>
  <c r="AR109"/>
  <c r="AS109"/>
  <c r="AR114"/>
  <c r="AS114"/>
  <c r="AR115"/>
  <c r="AS115"/>
  <c r="AR116"/>
  <c r="AS116"/>
  <c r="AR117"/>
  <c r="AS117"/>
  <c r="AR107"/>
  <c r="AS107"/>
  <c r="K107"/>
  <c r="M107"/>
  <c r="AR98"/>
  <c r="AS98"/>
  <c r="AR99"/>
  <c r="AS99"/>
  <c r="AR100"/>
  <c r="AS100"/>
  <c r="K98"/>
  <c r="M98"/>
  <c r="K99"/>
  <c r="M99"/>
  <c r="K100"/>
  <c r="M100"/>
  <c r="AR94"/>
  <c r="AS94"/>
  <c r="K94"/>
  <c r="M94"/>
  <c r="AR90"/>
  <c r="AS90"/>
  <c r="AR91"/>
  <c r="AS91"/>
  <c r="AR92"/>
  <c r="AS92"/>
  <c r="K90"/>
  <c r="M90"/>
  <c r="K91"/>
  <c r="M91"/>
  <c r="K92"/>
  <c r="M92"/>
  <c r="J35" i="2"/>
  <c r="J36"/>
  <c r="J37"/>
  <c r="J33"/>
  <c r="K84" i="3"/>
  <c r="M84"/>
  <c r="AR84"/>
  <c r="AS84"/>
  <c r="G7" i="19"/>
  <c r="G8"/>
  <c r="G9"/>
  <c r="G10"/>
  <c r="G11"/>
  <c r="G12"/>
  <c r="I39" i="4"/>
  <c r="D24" i="15"/>
  <c r="C24" i="19"/>
  <c r="C23"/>
  <c r="G6"/>
  <c r="F19"/>
  <c r="E19"/>
  <c r="G21"/>
  <c r="G22"/>
  <c r="I21"/>
  <c r="D17"/>
  <c r="J16"/>
  <c r="J15"/>
  <c r="J14"/>
  <c r="J13"/>
  <c r="J12"/>
  <c r="J11"/>
  <c r="J10"/>
  <c r="J9"/>
  <c r="J8"/>
  <c r="J7"/>
  <c r="J6"/>
  <c r="D4"/>
  <c r="AR85" i="3"/>
  <c r="AS85"/>
  <c r="AR86"/>
  <c r="AS86"/>
  <c r="AR87"/>
  <c r="AS87"/>
  <c r="AR88"/>
  <c r="AS88"/>
  <c r="K81"/>
  <c r="M81"/>
  <c r="K82"/>
  <c r="M82"/>
  <c r="K85"/>
  <c r="M85"/>
  <c r="K86"/>
  <c r="M86"/>
  <c r="K87"/>
  <c r="M87"/>
  <c r="K88"/>
  <c r="M88"/>
  <c r="J11" i="2"/>
  <c r="AR89" i="3"/>
  <c r="AS89"/>
  <c r="AR93"/>
  <c r="AS93"/>
  <c r="AR95"/>
  <c r="AS95"/>
  <c r="AR96"/>
  <c r="AS96"/>
  <c r="AR97"/>
  <c r="AS97"/>
  <c r="AR101"/>
  <c r="AS101"/>
  <c r="AR102"/>
  <c r="AS102"/>
  <c r="AR103"/>
  <c r="AS103"/>
  <c r="AR104"/>
  <c r="AS104"/>
  <c r="AR105"/>
  <c r="AS105"/>
  <c r="AR106"/>
  <c r="AS106"/>
  <c r="AR110"/>
  <c r="AS110"/>
  <c r="AR111"/>
  <c r="AS111"/>
  <c r="AR112"/>
  <c r="AS112"/>
  <c r="K89"/>
  <c r="M89"/>
  <c r="K93"/>
  <c r="M93"/>
  <c r="K95"/>
  <c r="M95"/>
  <c r="K96"/>
  <c r="M96"/>
  <c r="K97"/>
  <c r="M97"/>
  <c r="K101"/>
  <c r="M101"/>
  <c r="K102"/>
  <c r="M102"/>
  <c r="K103"/>
  <c r="M103"/>
  <c r="K104"/>
  <c r="M104"/>
  <c r="K105"/>
  <c r="M105"/>
  <c r="K106"/>
  <c r="M106"/>
  <c r="K110"/>
  <c r="M110"/>
  <c r="K111"/>
  <c r="M111"/>
  <c r="K112"/>
  <c r="M112"/>
  <c r="D6" i="4"/>
  <c r="G3" i="16"/>
  <c r="D7" i="4"/>
  <c r="D8"/>
  <c r="E11"/>
  <c r="W120" i="3"/>
  <c r="D14" i="4"/>
  <c r="S120" i="3"/>
  <c r="D15" i="4"/>
  <c r="AI120" i="3"/>
  <c r="D16" i="4"/>
  <c r="AE120" i="3"/>
  <c r="D18" i="4"/>
  <c r="U120" i="3"/>
  <c r="D19" i="4"/>
  <c r="O120" i="3"/>
  <c r="D20" i="4"/>
  <c r="E22"/>
  <c r="Y120" i="3"/>
  <c r="D26" i="4"/>
  <c r="AG120" i="3"/>
  <c r="D27" i="4"/>
  <c r="AK120" i="3"/>
  <c r="D28" i="4"/>
  <c r="AM120" i="3"/>
  <c r="D29" i="4"/>
  <c r="AA120" i="3"/>
  <c r="D30" i="4"/>
  <c r="AC120" i="3"/>
  <c r="D31" i="4"/>
  <c r="AO120" i="3"/>
  <c r="D32" i="4"/>
  <c r="E34"/>
  <c r="E45"/>
  <c r="I38"/>
  <c r="G5" i="16"/>
  <c r="G6"/>
  <c r="G7"/>
  <c r="G8"/>
  <c r="G9"/>
  <c r="G10"/>
  <c r="G11"/>
  <c r="I40" i="4"/>
  <c r="I41"/>
  <c r="J43"/>
  <c r="V120" i="3"/>
  <c r="I14" i="4"/>
  <c r="R120" i="3"/>
  <c r="I15" i="4"/>
  <c r="AP120" i="3"/>
  <c r="I16" i="4"/>
  <c r="AD120" i="3"/>
  <c r="I18" i="4"/>
  <c r="T120" i="3"/>
  <c r="I19" i="4"/>
  <c r="N120" i="3"/>
  <c r="I20" i="4"/>
  <c r="J22"/>
  <c r="X120" i="3"/>
  <c r="AF120"/>
  <c r="AJ120"/>
  <c r="AL120"/>
  <c r="Z120"/>
  <c r="AB120"/>
  <c r="J45" i="4"/>
  <c r="E48"/>
  <c r="K113" i="3"/>
  <c r="M113"/>
  <c r="AR113"/>
  <c r="AS113"/>
  <c r="B129"/>
  <c r="J45" i="2"/>
  <c r="B132" i="3"/>
  <c r="K4"/>
  <c r="M4"/>
  <c r="F9" i="17"/>
  <c r="F10"/>
  <c r="F11"/>
  <c r="F7"/>
  <c r="F8"/>
  <c r="F12"/>
  <c r="F13"/>
  <c r="F14"/>
  <c r="D23" i="15"/>
  <c r="D25"/>
  <c r="D26"/>
  <c r="C7"/>
  <c r="D8"/>
  <c r="D9"/>
  <c r="D10"/>
  <c r="D11"/>
  <c r="D12"/>
  <c r="D13"/>
  <c r="D16"/>
  <c r="D17"/>
  <c r="AS4" i="3"/>
  <c r="AS118"/>
  <c r="AS120"/>
  <c r="D7" i="15"/>
  <c r="E7"/>
  <c r="F18" i="17"/>
  <c r="G7" i="15"/>
  <c r="F8"/>
  <c r="F9"/>
  <c r="F10"/>
  <c r="AN120" i="3"/>
  <c r="F11" i="15"/>
  <c r="F12"/>
  <c r="F13"/>
  <c r="F16"/>
  <c r="F17"/>
  <c r="AR4" i="3"/>
  <c r="AR118"/>
  <c r="AR120"/>
  <c r="F7" i="15"/>
  <c r="H7"/>
  <c r="I7"/>
  <c r="C8"/>
  <c r="E8"/>
  <c r="F19" i="17"/>
  <c r="G8" i="15"/>
  <c r="H8"/>
  <c r="I8"/>
  <c r="C9"/>
  <c r="E9"/>
  <c r="F20" i="17"/>
  <c r="G9" i="15"/>
  <c r="H9"/>
  <c r="I9"/>
  <c r="C10"/>
  <c r="E10"/>
  <c r="H10"/>
  <c r="I10"/>
  <c r="C11"/>
  <c r="E11"/>
  <c r="H11"/>
  <c r="I11"/>
  <c r="C12"/>
  <c r="E12"/>
  <c r="H12"/>
  <c r="I12"/>
  <c r="C13"/>
  <c r="E13"/>
  <c r="H13"/>
  <c r="I13"/>
  <c r="I14"/>
  <c r="F21" i="17"/>
  <c r="C16" i="15"/>
  <c r="E16"/>
  <c r="F4" i="17"/>
  <c r="F23"/>
  <c r="G16" i="15"/>
  <c r="H16"/>
  <c r="I16"/>
  <c r="C17"/>
  <c r="E17"/>
  <c r="F24" i="17"/>
  <c r="G17" i="15"/>
  <c r="H17"/>
  <c r="I17"/>
  <c r="I18"/>
  <c r="I19"/>
  <c r="G14"/>
  <c r="G18"/>
  <c r="G19"/>
  <c r="I26"/>
  <c r="J40" i="2"/>
  <c r="J41"/>
  <c r="J38"/>
  <c r="J39"/>
  <c r="J44"/>
  <c r="J42"/>
  <c r="J43"/>
  <c r="B4" i="15"/>
  <c r="E115" i="2"/>
  <c r="F115"/>
  <c r="G117"/>
  <c r="C20" i="6"/>
  <c r="C19"/>
  <c r="C21"/>
  <c r="D18"/>
  <c r="D19"/>
  <c r="D21"/>
  <c r="E21"/>
  <c r="C13"/>
  <c r="D13"/>
  <c r="E13"/>
  <c r="E24"/>
  <c r="J25" i="2"/>
  <c r="J16"/>
  <c r="J30"/>
  <c r="J17"/>
  <c r="J26"/>
  <c r="J31"/>
  <c r="J32"/>
  <c r="D9"/>
  <c r="B127" i="3"/>
  <c r="C119" i="2"/>
  <c r="J24"/>
  <c r="J34"/>
  <c r="Q126" i="3"/>
  <c r="P126"/>
  <c r="D28" i="15"/>
  <c r="A22"/>
  <c r="AM124" i="3"/>
  <c r="AL122"/>
  <c r="AK124"/>
  <c r="AJ122"/>
  <c r="D3" i="16"/>
  <c r="E14"/>
  <c r="F14"/>
  <c r="D8" i="6"/>
  <c r="E16" i="16"/>
  <c r="F16"/>
  <c r="F5" i="17"/>
  <c r="F6"/>
  <c r="F22"/>
  <c r="F25"/>
  <c r="F26"/>
  <c r="F27"/>
  <c r="F28"/>
  <c r="B3" i="15"/>
  <c r="E6"/>
  <c r="C7" i="6"/>
  <c r="D3" i="2"/>
  <c r="J18"/>
  <c r="J21"/>
  <c r="J22"/>
  <c r="J23"/>
  <c r="C6" i="6"/>
  <c r="D6"/>
  <c r="K118" i="3"/>
  <c r="I120"/>
  <c r="J120"/>
  <c r="E33" i="15"/>
  <c r="D33"/>
  <c r="E35"/>
  <c r="D35"/>
  <c r="W124" i="3"/>
  <c r="E34" i="15"/>
  <c r="D34"/>
  <c r="AG124" i="3"/>
  <c r="AH120"/>
  <c r="AI124"/>
  <c r="AN122"/>
  <c r="AO124"/>
  <c r="AP122"/>
  <c r="AQ124"/>
  <c r="V122"/>
  <c r="AD122"/>
  <c r="AH122"/>
  <c r="B130"/>
  <c r="A5" i="4"/>
  <c r="C16"/>
  <c r="D11" i="16"/>
  <c r="AE124" i="3"/>
  <c r="C14" i="15"/>
  <c r="G14" i="16"/>
  <c r="AA124" i="3"/>
  <c r="O124"/>
  <c r="C8" i="6"/>
  <c r="N122" i="3"/>
  <c r="T122"/>
  <c r="Z122"/>
  <c r="X122"/>
  <c r="U124"/>
  <c r="Y124"/>
  <c r="AB122"/>
  <c r="A2" i="4"/>
  <c r="D113" i="2"/>
  <c r="G36" i="4"/>
  <c r="F33" i="15"/>
  <c r="C18"/>
  <c r="F35"/>
  <c r="C9" i="6"/>
  <c r="F34" i="15"/>
  <c r="D18"/>
  <c r="AC124" i="3"/>
  <c r="D7" i="6"/>
  <c r="D9"/>
  <c r="S124" i="3"/>
  <c r="AF122"/>
  <c r="R122"/>
  <c r="A2" i="15"/>
  <c r="F14"/>
  <c r="D14"/>
  <c r="AR122" i="3"/>
  <c r="AR123"/>
  <c r="AS124"/>
  <c r="AS125"/>
  <c r="E18" i="15"/>
  <c r="C19"/>
  <c r="F18"/>
  <c r="E9" i="6"/>
  <c r="AR128" i="3"/>
  <c r="H18" i="15"/>
  <c r="D19"/>
  <c r="E14"/>
  <c r="H14"/>
  <c r="F19"/>
  <c r="E19"/>
  <c r="H19"/>
  <c r="I117" i="2"/>
  <c r="G118"/>
</calcChain>
</file>

<file path=xl/sharedStrings.xml><?xml version="1.0" encoding="utf-8"?>
<sst xmlns="http://schemas.openxmlformats.org/spreadsheetml/2006/main" count="1534" uniqueCount="375">
  <si>
    <t>Date</t>
  </si>
  <si>
    <t>Details</t>
  </si>
  <si>
    <t>Debit</t>
  </si>
  <si>
    <t>Credit</t>
  </si>
  <si>
    <t>Interest</t>
  </si>
  <si>
    <t>Totals</t>
  </si>
  <si>
    <t>Balance</t>
  </si>
  <si>
    <t>Miscellaneous</t>
  </si>
  <si>
    <t>Total Debits</t>
  </si>
  <si>
    <t>Total Credits</t>
  </si>
  <si>
    <t>Total</t>
  </si>
  <si>
    <t>Cleared/Reconciled</t>
  </si>
  <si>
    <t>Interest received</t>
  </si>
  <si>
    <t>Miscellaneous Income</t>
  </si>
  <si>
    <t>Miscellaneous expenses</t>
  </si>
  <si>
    <t>TOTAL CLOSING BALANCES</t>
  </si>
  <si>
    <t>TOTAL OPENING BALANCES</t>
  </si>
  <si>
    <t>Debits/credits from Bank Books</t>
  </si>
  <si>
    <t>Debits/credits from Receipts/Expenditure</t>
  </si>
  <si>
    <t>Receipts/expenditure</t>
  </si>
  <si>
    <t>Summary totals from Sources/Uses</t>
  </si>
  <si>
    <t>General income</t>
  </si>
  <si>
    <t>General expenditure</t>
  </si>
  <si>
    <t>Check</t>
  </si>
  <si>
    <t>Transaction Detail</t>
  </si>
  <si>
    <t>Notes</t>
  </si>
  <si>
    <t>Receipt?</t>
  </si>
  <si>
    <t>Income</t>
  </si>
  <si>
    <t>Expenditure</t>
  </si>
  <si>
    <t>less prior year entries not cleared at year end</t>
  </si>
  <si>
    <t>Bank statement</t>
  </si>
  <si>
    <t>Cash</t>
  </si>
  <si>
    <t>Number</t>
  </si>
  <si>
    <t>Hire of toilets</t>
  </si>
  <si>
    <t>Paper, stamps, envelopes</t>
  </si>
  <si>
    <t>On-the-day expenses</t>
  </si>
  <si>
    <t>Misc expense</t>
  </si>
  <si>
    <t>Nett change in cash position since year start</t>
  </si>
  <si>
    <t>Cash on hand</t>
  </si>
  <si>
    <t>Contra Entries</t>
  </si>
  <si>
    <t>Postage</t>
  </si>
  <si>
    <t>Event</t>
  </si>
  <si>
    <t>Category</t>
  </si>
  <si>
    <t>First Aid Cover</t>
  </si>
  <si>
    <t>Prizes</t>
  </si>
  <si>
    <t>Balance c/f</t>
  </si>
  <si>
    <t>In R&amp;E sheet</t>
  </si>
  <si>
    <t>Cross check from Receipts/Expenditure</t>
  </si>
  <si>
    <t>Audit</t>
  </si>
  <si>
    <t>Number of deposits (Transaction number &gt;100000)</t>
  </si>
  <si>
    <t>Number of cheques (Transaction number &lt;100000)</t>
  </si>
  <si>
    <t>Cheques</t>
  </si>
  <si>
    <t>Description</t>
  </si>
  <si>
    <t>Charity Donations</t>
  </si>
  <si>
    <t>Months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</si>
  <si>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</si>
  <si>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</si>
  <si>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</si>
  <si>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</si>
  <si>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</si>
  <si>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</si>
  <si>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</si>
  <si>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</si>
  <si>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</si>
  <si>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</si>
  <si>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</si>
  <si>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</si>
  <si>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Report Date</t>
  </si>
  <si>
    <t>Difference</t>
  </si>
  <si>
    <t>Calculated statement</t>
  </si>
  <si>
    <t>Race HQ</t>
  </si>
  <si>
    <t>General Expenses</t>
  </si>
  <si>
    <t>TOTAL GENERAL EXPENSES</t>
  </si>
  <si>
    <t>Ring Fenced Expenditure</t>
  </si>
  <si>
    <t>TOTAL RING FENCED EXPENDITURE</t>
  </si>
  <si>
    <t>BTF Regional Grant</t>
  </si>
  <si>
    <t>Triathlon England Eastern Region</t>
  </si>
  <si>
    <t>Halifax Building Society</t>
  </si>
  <si>
    <t>BTF Academy Grant</t>
  </si>
  <si>
    <t>Inter-regional championships</t>
  </si>
  <si>
    <t>General Income</t>
  </si>
  <si>
    <t>Ring Fenced Income</t>
  </si>
  <si>
    <t>Club accreditation awards</t>
  </si>
  <si>
    <t>Herts University Development Officer Grant</t>
  </si>
  <si>
    <t>Herts University WFD Grant</t>
  </si>
  <si>
    <t>Schools aquathlon final</t>
  </si>
  <si>
    <t>In year income</t>
  </si>
  <si>
    <t>Balance c/f plus in-year income</t>
  </si>
  <si>
    <t>Actual to date</t>
  </si>
  <si>
    <t>Actual &amp; Committed to Date</t>
  </si>
  <si>
    <t>Expected Outcome</t>
  </si>
  <si>
    <t>Essex Development and Regeneration Agency WFD Grant</t>
  </si>
  <si>
    <t>Regional activity</t>
  </si>
  <si>
    <t>Essex DRA WFD</t>
  </si>
  <si>
    <t>Herts University WFD</t>
  </si>
  <si>
    <t>Herts University DO</t>
  </si>
  <si>
    <t>BTF Academy</t>
  </si>
  <si>
    <t>Committed Expenditure</t>
  </si>
  <si>
    <t>Date agreed</t>
  </si>
  <si>
    <t>Amount</t>
  </si>
  <si>
    <t>Committed from:</t>
  </si>
  <si>
    <t>Spent?</t>
  </si>
  <si>
    <t>IRC</t>
  </si>
  <si>
    <t>Herts Uni Dev Officer</t>
  </si>
  <si>
    <t>Schools Aquathlon</t>
  </si>
  <si>
    <t>Annual Awards</t>
  </si>
  <si>
    <t>Annual awards</t>
  </si>
  <si>
    <t>Race Trophies</t>
  </si>
  <si>
    <t>Race series awards</t>
  </si>
  <si>
    <t>HSBC</t>
  </si>
  <si>
    <t>David Brown</t>
  </si>
  <si>
    <t>Club accreditation</t>
  </si>
  <si>
    <t>HSBC Bank plc</t>
  </si>
  <si>
    <t>Grand Total</t>
  </si>
  <si>
    <t>Transaction</t>
  </si>
  <si>
    <t>Sum of Amount</t>
  </si>
  <si>
    <t>Committed but not spent to date</t>
  </si>
  <si>
    <t>Committed but not spent</t>
  </si>
  <si>
    <t>Coaches</t>
  </si>
  <si>
    <t>Venues</t>
  </si>
  <si>
    <t>Royalties</t>
  </si>
  <si>
    <t>Coach Education</t>
  </si>
  <si>
    <t>Training manuals</t>
  </si>
  <si>
    <t>Prior year values</t>
  </si>
  <si>
    <t>Club Accreditation</t>
  </si>
  <si>
    <t>Regional Activity</t>
  </si>
  <si>
    <t>Total Regional Activity</t>
  </si>
  <si>
    <t>Total Ring Fenced Expenditure</t>
  </si>
  <si>
    <t>OFFSET(Variables!$B$29,0,0,COUNTA(Variables!$B$29:$B$39),2)</t>
  </si>
  <si>
    <t>TOTAL GENERAL INCOME</t>
  </si>
  <si>
    <t>TOTAL RING FENCED INCOME</t>
  </si>
  <si>
    <t>BTA Grant</t>
  </si>
  <si>
    <t>Regional activity Total</t>
  </si>
  <si>
    <t>Club relay</t>
  </si>
  <si>
    <t>Travel</t>
  </si>
  <si>
    <t>Accommodation</t>
  </si>
  <si>
    <t>Academy</t>
  </si>
  <si>
    <t>Website</t>
  </si>
  <si>
    <t>Training events</t>
  </si>
  <si>
    <t>Heading</t>
  </si>
  <si>
    <t>Summary Headings</t>
  </si>
  <si>
    <t>OFFSET(Variables!$K$5,0,0,COUNTA(Variables!$K$5:$K$28),1)</t>
  </si>
  <si>
    <t>Kit</t>
  </si>
  <si>
    <t>Coach award grant</t>
  </si>
  <si>
    <t>Essex Club Coach</t>
  </si>
  <si>
    <t>Herts Club Coach</t>
  </si>
  <si>
    <t>Regional Website</t>
  </si>
  <si>
    <t>AGM</t>
  </si>
  <si>
    <t>Training days</t>
  </si>
  <si>
    <t>Herts Uni DO</t>
  </si>
  <si>
    <t>Consultancy</t>
  </si>
  <si>
    <t>Essex DRA</t>
  </si>
  <si>
    <t>Ring fenced activities</t>
  </si>
  <si>
    <t>Statement balance at year end</t>
  </si>
  <si>
    <t>Meals</t>
  </si>
  <si>
    <t>Event Quality</t>
  </si>
  <si>
    <t>Event quality</t>
  </si>
  <si>
    <t>League races</t>
  </si>
  <si>
    <t>Club quality</t>
  </si>
  <si>
    <t>Regional governance</t>
  </si>
  <si>
    <t>Club Quality</t>
  </si>
  <si>
    <t>Officiating</t>
  </si>
  <si>
    <t>Tristars</t>
  </si>
  <si>
    <t>Coach Education Total</t>
  </si>
  <si>
    <t>A1 Health &amp; Fitness</t>
  </si>
  <si>
    <t>BTF Admin Charges</t>
  </si>
  <si>
    <t>Assessment</t>
  </si>
  <si>
    <t>Regional relays</t>
  </si>
  <si>
    <t>Year</t>
  </si>
  <si>
    <t>HSBC statement balance at year end</t>
  </si>
  <si>
    <t>Cash balance at year end</t>
  </si>
  <si>
    <t>St Felix School</t>
  </si>
  <si>
    <t>Y</t>
  </si>
  <si>
    <t>Course Number</t>
  </si>
  <si>
    <t>Course and category</t>
  </si>
  <si>
    <t xml:space="preserve"> </t>
  </si>
  <si>
    <t>British Triathlon</t>
  </si>
  <si>
    <t>Quality events</t>
  </si>
  <si>
    <t>Quality officials</t>
  </si>
  <si>
    <t>Quality volunteers</t>
  </si>
  <si>
    <t>Exam Fees</t>
  </si>
  <si>
    <t>Richard Fuller</t>
  </si>
  <si>
    <t>CHAPS</t>
  </si>
  <si>
    <t>Online</t>
  </si>
  <si>
    <t>(blank)</t>
  </si>
  <si>
    <t>(blank) Total</t>
  </si>
  <si>
    <t>Race league</t>
  </si>
  <si>
    <t>Transfer</t>
  </si>
  <si>
    <t>Geraldine Howard</t>
  </si>
  <si>
    <t>E316</t>
  </si>
  <si>
    <t>E316 Total</t>
  </si>
  <si>
    <t>Paradise Triathlon Training</t>
  </si>
  <si>
    <t>Governance</t>
  </si>
  <si>
    <t>0212</t>
  </si>
  <si>
    <t>0214</t>
  </si>
  <si>
    <t>Jonathan Davies - LTO course expenses</t>
  </si>
  <si>
    <t>0215</t>
  </si>
  <si>
    <t>0216</t>
  </si>
  <si>
    <t>Geraldine Howard (L2 Feb 12)</t>
  </si>
  <si>
    <t>S Edwards Coaching (L2 Mar 12)</t>
  </si>
  <si>
    <t>0217</t>
  </si>
  <si>
    <t>V Ulfik (L2 Feb/Mar 12)</t>
  </si>
  <si>
    <t>0213</t>
  </si>
  <si>
    <t>R Lee (L1 Nov 11)</t>
  </si>
  <si>
    <t>0218</t>
  </si>
  <si>
    <t>0219</t>
  </si>
  <si>
    <t>A1 Health &amp; fitness (L2 Feb 12)</t>
  </si>
  <si>
    <t>0220</t>
  </si>
  <si>
    <t>Geraldine Howard (L1 May 12)</t>
  </si>
  <si>
    <t>E323</t>
  </si>
  <si>
    <t>0223</t>
  </si>
  <si>
    <t>KAM Ltd (L2 Feb 12)</t>
  </si>
  <si>
    <t>Abi Hutton (Lifeguarding</t>
  </si>
  <si>
    <t>0222</t>
  </si>
  <si>
    <t>224</t>
  </si>
  <si>
    <t>225</t>
  </si>
  <si>
    <t>Bridgit Heath</t>
  </si>
  <si>
    <t>Karl Grainger</t>
  </si>
  <si>
    <t>226</t>
  </si>
  <si>
    <t>228</t>
  </si>
  <si>
    <t>RTO</t>
  </si>
  <si>
    <t>Jonathan Davies - RTO course expenses</t>
  </si>
  <si>
    <t>229</t>
  </si>
  <si>
    <t>Deposit on IRC kit</t>
  </si>
  <si>
    <t>Abi Hutton</t>
  </si>
  <si>
    <t>St Felix School Swimming Club</t>
  </si>
  <si>
    <t>C M Williams</t>
  </si>
  <si>
    <t>HSBC Current Account</t>
  </si>
  <si>
    <t>HSBC Savings</t>
  </si>
  <si>
    <t>HSBC Savings Account</t>
  </si>
  <si>
    <t>A1 Health &amp; fitness ()</t>
  </si>
  <si>
    <t>Deposit</t>
  </si>
  <si>
    <t>RTO Course</t>
  </si>
  <si>
    <t>Richard Fuller (Trophies)</t>
  </si>
  <si>
    <t>NiceT</t>
  </si>
  <si>
    <t>Dunmow Tri</t>
  </si>
  <si>
    <t>Fambridge League</t>
  </si>
  <si>
    <t>Monster Racing</t>
  </si>
  <si>
    <t>Annual awards/Race Series</t>
  </si>
  <si>
    <t>??</t>
  </si>
  <si>
    <t>Dunmow Triathlon</t>
  </si>
  <si>
    <t>RTO Total</t>
  </si>
  <si>
    <t>E323 Total</t>
  </si>
  <si>
    <t>232</t>
  </si>
  <si>
    <t>233</t>
  </si>
  <si>
    <t>234</t>
  </si>
  <si>
    <t>235</t>
  </si>
  <si>
    <t>Y`</t>
  </si>
  <si>
    <t>236</t>
  </si>
  <si>
    <t>Hemel Hempstead Cycle Club</t>
  </si>
  <si>
    <t>Impsport - balance on IRC kit</t>
  </si>
  <si>
    <t>Impsport - Deposit on IRC kit</t>
  </si>
  <si>
    <t>0237</t>
  </si>
  <si>
    <t>LTO</t>
  </si>
  <si>
    <t>LTO Total</t>
  </si>
  <si>
    <t>Feather flags</t>
  </si>
  <si>
    <t>N</t>
  </si>
  <si>
    <t>Tim Williams</t>
  </si>
  <si>
    <t>Coachwise</t>
  </si>
  <si>
    <t>P Dewar</t>
  </si>
  <si>
    <t>E324</t>
  </si>
  <si>
    <t>Paula Dewar</t>
  </si>
  <si>
    <t>Simon  Edwards</t>
  </si>
  <si>
    <t>Simon Edwards</t>
  </si>
  <si>
    <t>Cedars Upper School</t>
  </si>
  <si>
    <t>Ricky Lee</t>
  </si>
  <si>
    <t>E325</t>
  </si>
  <si>
    <t>Paul Moss</t>
  </si>
  <si>
    <t>E326</t>
  </si>
  <si>
    <t>Coach Education (E326, Nov, Basildon)</t>
  </si>
  <si>
    <t>Leighton Buzzard Tri</t>
  </si>
  <si>
    <t>EFT</t>
  </si>
  <si>
    <t>Coach Education (unpaid cheque)</t>
  </si>
  <si>
    <t>Coach Education (Presented cheque)</t>
  </si>
  <si>
    <t>Bank charge</t>
  </si>
  <si>
    <t>HSBC - Bank charge</t>
  </si>
  <si>
    <t>Gross Interest</t>
  </si>
  <si>
    <t>Gross interest on savings account</t>
  </si>
  <si>
    <t>CAF Funding (x3)</t>
  </si>
  <si>
    <t>BTF Admin Fees</t>
  </si>
  <si>
    <t>Course Ref</t>
  </si>
  <si>
    <t>Level</t>
  </si>
  <si>
    <t>Location</t>
  </si>
  <si>
    <t>Dates</t>
  </si>
  <si>
    <t>E325 Total</t>
  </si>
  <si>
    <t>E324 Total</t>
  </si>
  <si>
    <t>E326 Total</t>
  </si>
  <si>
    <t>0238</t>
  </si>
  <si>
    <t>0240</t>
  </si>
  <si>
    <t>0241</t>
  </si>
  <si>
    <t>0242</t>
  </si>
  <si>
    <t>Tim Williams (IRC kit)</t>
  </si>
  <si>
    <t>0243</t>
  </si>
  <si>
    <t>Training Camp</t>
  </si>
  <si>
    <t>0244</t>
  </si>
  <si>
    <t>Basildon</t>
  </si>
  <si>
    <t>0245</t>
  </si>
  <si>
    <t>0246</t>
  </si>
  <si>
    <t>0247</t>
  </si>
  <si>
    <t>0248</t>
  </si>
  <si>
    <t>0249</t>
  </si>
  <si>
    <t>0250</t>
  </si>
  <si>
    <t>0251</t>
  </si>
  <si>
    <t>Academy Total</t>
  </si>
  <si>
    <t>0252</t>
  </si>
  <si>
    <t>0253</t>
  </si>
  <si>
    <t>Ashley Nicholson, February meeting venue</t>
  </si>
  <si>
    <t>Coaching Bursary</t>
  </si>
  <si>
    <t>Adrian Barbrooke</t>
  </si>
  <si>
    <t>Ashley Nicholson</t>
  </si>
  <si>
    <t>Ricky Lee (repayment?)</t>
  </si>
  <si>
    <t>RPM??</t>
  </si>
  <si>
    <t>Coaching Education</t>
  </si>
  <si>
    <t>???</t>
  </si>
  <si>
    <t>Tri-Anglia</t>
  </si>
  <si>
    <t>Blue Splat</t>
  </si>
  <si>
    <t>S Brierley</t>
  </si>
  <si>
    <t>V Ulfik (L2 Cedars)</t>
  </si>
  <si>
    <t>Elveden Farms</t>
  </si>
  <si>
    <t>EM310</t>
  </si>
  <si>
    <t>Coach Educationn (EM310)</t>
  </si>
  <si>
    <t>Nice Tri</t>
  </si>
  <si>
    <t>Coach Education (EM310)</t>
  </si>
  <si>
    <t>EM310 Total</t>
  </si>
  <si>
    <t>Unpaid cheque</t>
  </si>
  <si>
    <t>Simon Brierley</t>
  </si>
  <si>
    <t>0255</t>
  </si>
  <si>
    <t>0254</t>
  </si>
  <si>
    <t>0256</t>
  </si>
  <si>
    <t>0257</t>
  </si>
  <si>
    <t>0258</t>
  </si>
  <si>
    <t>L2</t>
  </si>
  <si>
    <t>0259</t>
  </si>
  <si>
    <t>0260</t>
  </si>
  <si>
    <t>0261</t>
  </si>
  <si>
    <t>British Triathlon - coaching bursary</t>
  </si>
  <si>
    <t>L1 Imp</t>
  </si>
  <si>
    <t>0262</t>
  </si>
  <si>
    <t>L2 LB</t>
  </si>
  <si>
    <t>0263</t>
  </si>
  <si>
    <t>L1 Cantab</t>
  </si>
  <si>
    <t>0264</t>
  </si>
  <si>
    <t>L2 Basildon</t>
  </si>
  <si>
    <t>0265</t>
  </si>
  <si>
    <t>SportsInstinct (RO t-shirts)</t>
  </si>
  <si>
    <t>Custom SCR - Eastern Region t-shirts</t>
  </si>
  <si>
    <t>L2 Basildon Total</t>
  </si>
  <si>
    <t>L1 Cantab Total</t>
  </si>
  <si>
    <t>L2 LB Total</t>
  </si>
  <si>
    <t>L1 Imp Total</t>
  </si>
  <si>
    <t>Coachwise (5049358)</t>
  </si>
  <si>
    <t>C Short</t>
  </si>
  <si>
    <t>L2 Cedars</t>
  </si>
  <si>
    <t>SportInstinct</t>
  </si>
  <si>
    <t>S Edwards Coaching</t>
  </si>
  <si>
    <t>Custom SCR</t>
  </si>
  <si>
    <t>Heather Williams</t>
  </si>
  <si>
    <t>E330</t>
  </si>
  <si>
    <t>Uttlesford Leisure</t>
  </si>
  <si>
    <t>0266</t>
  </si>
  <si>
    <t>0267</t>
  </si>
  <si>
    <t>0268</t>
  </si>
  <si>
    <t>0269</t>
  </si>
  <si>
    <t>0239</t>
  </si>
  <si>
    <t>0270</t>
  </si>
  <si>
    <t>0271</t>
  </si>
  <si>
    <t>0272</t>
  </si>
  <si>
    <t>0273</t>
  </si>
  <si>
    <t>0274</t>
  </si>
  <si>
    <t>Heather Williams - Jan Swim camp</t>
  </si>
  <si>
    <t>Now 3 years old!</t>
  </si>
  <si>
    <t>0275</t>
  </si>
  <si>
    <t>Simom Edwards</t>
  </si>
  <si>
    <t>E330 Total</t>
  </si>
  <si>
    <t>L2 Cedars Total</t>
  </si>
</sst>
</file>

<file path=xl/styles.xml><?xml version="1.0" encoding="utf-8"?>
<styleSheet xmlns="http://schemas.openxmlformats.org/spreadsheetml/2006/main">
  <numFmts count="12"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d\-mmm"/>
    <numFmt numFmtId="165" formatCode="_-* #,##0.00_-;\-* #,##0.00_-;_-* &quot;-&quot;_-;_-@_-"/>
    <numFmt numFmtId="166" formatCode="000000"/>
    <numFmt numFmtId="167" formatCode="_-* #,##0_-;\-* #,##0_-;_-* &quot;-&quot;??_-;_-@_-"/>
    <numFmt numFmtId="168" formatCode="h:mm"/>
    <numFmt numFmtId="169" formatCode="_-&quot;£&quot;* #,##0.00_-;\-&quot;£&quot;* #,##0.00_-;_-&quot;£&quot;* &quot;-&quot;_-;_-@_-"/>
    <numFmt numFmtId="170" formatCode="&quot;L&quot;0\l"/>
    <numFmt numFmtId="171" formatCode="&quot;L&quot;0"/>
  </numFmts>
  <fonts count="17">
    <font>
      <sz val="10"/>
      <name val="Arial"/>
    </font>
    <font>
      <sz val="10"/>
      <name val="Times New Roman"/>
      <family val="1"/>
    </font>
    <font>
      <b/>
      <sz val="10"/>
      <name val="Times New Roman"/>
      <family val="1"/>
    </font>
    <font>
      <u/>
      <sz val="10"/>
      <name val="Times New Roman"/>
      <family val="1"/>
    </font>
    <font>
      <b/>
      <u/>
      <sz val="12"/>
      <name val="Times New Roman"/>
      <family val="1"/>
    </font>
    <font>
      <b/>
      <sz val="12"/>
      <name val="Times New Roman"/>
      <family val="1"/>
    </font>
    <font>
      <sz val="10"/>
      <color indexed="10"/>
      <name val="Times New Roman"/>
      <family val="1"/>
    </font>
    <font>
      <b/>
      <sz val="10"/>
      <color indexed="9"/>
      <name val="Times New Roman"/>
      <family val="1"/>
    </font>
    <font>
      <b/>
      <sz val="10"/>
      <name val="Arial"/>
    </font>
    <font>
      <b/>
      <u/>
      <sz val="8"/>
      <name val="Times New Roman"/>
      <family val="1"/>
    </font>
    <font>
      <sz val="8"/>
      <name val="Times New Roman"/>
      <family val="1"/>
    </font>
    <font>
      <sz val="8"/>
      <color indexed="10"/>
      <name val="Times New Roman"/>
      <family val="1"/>
    </font>
    <font>
      <sz val="10"/>
      <color indexed="9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Times New Roman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0625">
        <bgColor indexed="22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08">
    <xf numFmtId="0" fontId="0" fillId="0" borderId="0" xfId="0"/>
    <xf numFmtId="0" fontId="1" fillId="0" borderId="0" xfId="0" applyFont="1"/>
    <xf numFmtId="0" fontId="2" fillId="0" borderId="0" xfId="0" applyFont="1"/>
    <xf numFmtId="41" fontId="1" fillId="0" borderId="0" xfId="0" applyNumberFormat="1" applyFont="1"/>
    <xf numFmtId="41" fontId="1" fillId="0" borderId="1" xfId="0" applyNumberFormat="1" applyFont="1" applyBorder="1"/>
    <xf numFmtId="41" fontId="1" fillId="0" borderId="0" xfId="0" applyNumberFormat="1" applyFont="1" applyBorder="1"/>
    <xf numFmtId="41" fontId="1" fillId="0" borderId="2" xfId="0" applyNumberFormat="1" applyFont="1" applyBorder="1"/>
    <xf numFmtId="0" fontId="2" fillId="0" borderId="0" xfId="0" applyFont="1" applyAlignment="1">
      <alignment horizontal="center"/>
    </xf>
    <xf numFmtId="0" fontId="3" fillId="0" borderId="0" xfId="0" applyFont="1"/>
    <xf numFmtId="164" fontId="4" fillId="0" borderId="0" xfId="0" applyNumberFormat="1" applyFont="1"/>
    <xf numFmtId="49" fontId="4" fillId="0" borderId="0" xfId="0" applyNumberFormat="1" applyFont="1"/>
    <xf numFmtId="0" fontId="4" fillId="0" borderId="0" xfId="0" applyFont="1"/>
    <xf numFmtId="43" fontId="4" fillId="0" borderId="0" xfId="0" applyNumberFormat="1" applyFont="1" applyAlignment="1">
      <alignment horizontal="center"/>
    </xf>
    <xf numFmtId="164" fontId="2" fillId="0" borderId="0" xfId="0" applyNumberFormat="1" applyFont="1"/>
    <xf numFmtId="49" fontId="2" fillId="0" borderId="0" xfId="0" applyNumberFormat="1" applyFont="1"/>
    <xf numFmtId="43" fontId="2" fillId="0" borderId="0" xfId="0" applyNumberFormat="1" applyFont="1" applyAlignment="1">
      <alignment horizontal="center"/>
    </xf>
    <xf numFmtId="43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49" fontId="1" fillId="0" borderId="0" xfId="0" applyNumberFormat="1" applyFont="1"/>
    <xf numFmtId="164" fontId="1" fillId="0" borderId="0" xfId="0" applyNumberFormat="1" applyFont="1"/>
    <xf numFmtId="49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164" fontId="5" fillId="0" borderId="0" xfId="0" applyNumberFormat="1" applyFont="1"/>
    <xf numFmtId="49" fontId="5" fillId="0" borderId="0" xfId="0" applyNumberFormat="1" applyFont="1"/>
    <xf numFmtId="0" fontId="5" fillId="0" borderId="0" xfId="0" applyFont="1"/>
    <xf numFmtId="43" fontId="1" fillId="0" borderId="0" xfId="0" applyNumberFormat="1" applyFont="1"/>
    <xf numFmtId="43" fontId="1" fillId="0" borderId="2" xfId="0" applyNumberFormat="1" applyFont="1" applyBorder="1"/>
    <xf numFmtId="16" fontId="1" fillId="2" borderId="0" xfId="0" applyNumberFormat="1" applyFont="1" applyFill="1" applyAlignment="1">
      <alignment horizontal="center"/>
    </xf>
    <xf numFmtId="49" fontId="1" fillId="2" borderId="0" xfId="0" applyNumberFormat="1" applyFont="1" applyFill="1" applyAlignment="1">
      <alignment horizontal="center"/>
    </xf>
    <xf numFmtId="0" fontId="1" fillId="2" borderId="0" xfId="0" applyFont="1" applyFill="1"/>
    <xf numFmtId="43" fontId="1" fillId="2" borderId="0" xfId="0" applyNumberFormat="1" applyFont="1" applyFill="1" applyAlignment="1">
      <alignment horizontal="center"/>
    </xf>
    <xf numFmtId="43" fontId="1" fillId="2" borderId="0" xfId="0" applyNumberFormat="1" applyFont="1" applyFill="1"/>
    <xf numFmtId="43" fontId="2" fillId="0" borderId="0" xfId="0" applyNumberFormat="1" applyFont="1"/>
    <xf numFmtId="0" fontId="2" fillId="2" borderId="0" xfId="0" applyFont="1" applyFill="1" applyAlignment="1">
      <alignment horizontal="center"/>
    </xf>
    <xf numFmtId="164" fontId="1" fillId="2" borderId="0" xfId="0" applyNumberFormat="1" applyFont="1" applyFill="1"/>
    <xf numFmtId="0" fontId="2" fillId="2" borderId="0" xfId="0" applyFont="1" applyFill="1"/>
    <xf numFmtId="16" fontId="1" fillId="0" borderId="0" xfId="0" applyNumberFormat="1" applyFont="1" applyFill="1" applyAlignment="1">
      <alignment horizontal="center"/>
    </xf>
    <xf numFmtId="49" fontId="1" fillId="0" borderId="0" xfId="0" applyNumberFormat="1" applyFont="1" applyFill="1" applyAlignment="1">
      <alignment horizontal="center"/>
    </xf>
    <xf numFmtId="0" fontId="1" fillId="0" borderId="0" xfId="0" applyFont="1" applyFill="1"/>
    <xf numFmtId="43" fontId="1" fillId="0" borderId="0" xfId="0" applyNumberFormat="1" applyFont="1" applyFill="1" applyAlignment="1">
      <alignment horizontal="center"/>
    </xf>
    <xf numFmtId="43" fontId="1" fillId="0" borderId="0" xfId="0" applyNumberFormat="1" applyFont="1" applyFill="1"/>
    <xf numFmtId="166" fontId="1" fillId="0" borderId="0" xfId="0" applyNumberFormat="1" applyFont="1" applyFill="1" applyAlignment="1">
      <alignment horizontal="center"/>
    </xf>
    <xf numFmtId="0" fontId="1" fillId="0" borderId="0" xfId="0" applyFont="1" applyAlignment="1">
      <alignment horizontal="center"/>
    </xf>
    <xf numFmtId="2" fontId="2" fillId="0" borderId="0" xfId="0" applyNumberFormat="1" applyFont="1"/>
    <xf numFmtId="165" fontId="6" fillId="0" borderId="0" xfId="0" applyNumberFormat="1" applyFont="1" applyFill="1"/>
    <xf numFmtId="2" fontId="1" fillId="0" borderId="0" xfId="0" applyNumberFormat="1" applyFont="1"/>
    <xf numFmtId="167" fontId="1" fillId="0" borderId="0" xfId="0" applyNumberFormat="1" applyFont="1"/>
    <xf numFmtId="0" fontId="2" fillId="0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44" fontId="1" fillId="0" borderId="0" xfId="0" applyNumberFormat="1" applyFont="1"/>
    <xf numFmtId="14" fontId="1" fillId="0" borderId="0" xfId="0" applyNumberFormat="1" applyFont="1"/>
    <xf numFmtId="0" fontId="8" fillId="0" borderId="0" xfId="0" applyFont="1"/>
    <xf numFmtId="0" fontId="1" fillId="0" borderId="3" xfId="0" applyFont="1" applyBorder="1"/>
    <xf numFmtId="0" fontId="1" fillId="0" borderId="4" xfId="0" applyFont="1" applyBorder="1"/>
    <xf numFmtId="0" fontId="1" fillId="0" borderId="5" xfId="0" applyFont="1" applyBorder="1"/>
    <xf numFmtId="0" fontId="1" fillId="0" borderId="3" xfId="0" applyFont="1" applyFill="1" applyBorder="1"/>
    <xf numFmtId="0" fontId="1" fillId="0" borderId="6" xfId="0" applyFont="1" applyFill="1" applyBorder="1"/>
    <xf numFmtId="0" fontId="1" fillId="0" borderId="0" xfId="0" applyFont="1" applyFill="1" applyBorder="1"/>
    <xf numFmtId="168" fontId="2" fillId="0" borderId="0" xfId="0" applyNumberFormat="1" applyFont="1"/>
    <xf numFmtId="43" fontId="9" fillId="0" borderId="0" xfId="0" applyNumberFormat="1" applyFont="1" applyAlignment="1">
      <alignment horizontal="center"/>
    </xf>
    <xf numFmtId="0" fontId="10" fillId="0" borderId="0" xfId="0" applyFont="1"/>
    <xf numFmtId="165" fontId="11" fillId="0" borderId="0" xfId="0" applyNumberFormat="1" applyFont="1" applyFill="1"/>
    <xf numFmtId="43" fontId="2" fillId="0" borderId="2" xfId="0" applyNumberFormat="1" applyFont="1" applyBorder="1" applyAlignment="1">
      <alignment horizontal="center"/>
    </xf>
    <xf numFmtId="0" fontId="1" fillId="0" borderId="0" xfId="0" applyNumberFormat="1" applyFont="1" applyAlignment="1">
      <alignment horizontal="left"/>
    </xf>
    <xf numFmtId="14" fontId="7" fillId="0" borderId="0" xfId="0" applyNumberFormat="1" applyFont="1"/>
    <xf numFmtId="14" fontId="12" fillId="0" borderId="0" xfId="0" applyNumberFormat="1" applyFont="1"/>
    <xf numFmtId="0" fontId="2" fillId="0" borderId="0" xfId="0" applyFont="1" applyAlignment="1">
      <alignment horizontal="center" vertical="top" wrapText="1"/>
    </xf>
    <xf numFmtId="42" fontId="2" fillId="0" borderId="0" xfId="0" applyNumberFormat="1" applyFont="1"/>
    <xf numFmtId="0" fontId="2" fillId="0" borderId="0" xfId="0" applyFont="1" applyAlignment="1">
      <alignment horizontal="left"/>
    </xf>
    <xf numFmtId="0" fontId="1" fillId="0" borderId="1" xfId="0" applyFont="1" applyBorder="1"/>
    <xf numFmtId="0" fontId="10" fillId="0" borderId="0" xfId="0" applyFont="1" applyAlignment="1">
      <alignment horizontal="center" vertical="top" wrapText="1"/>
    </xf>
    <xf numFmtId="0" fontId="13" fillId="0" borderId="0" xfId="0" applyFont="1"/>
    <xf numFmtId="0" fontId="1" fillId="0" borderId="0" xfId="0" applyFont="1" applyAlignment="1">
      <alignment horizontal="right"/>
    </xf>
    <xf numFmtId="0" fontId="2" fillId="0" borderId="7" xfId="0" applyFont="1" applyBorder="1"/>
    <xf numFmtId="0" fontId="2" fillId="0" borderId="8" xfId="0" applyFont="1" applyBorder="1"/>
    <xf numFmtId="41" fontId="2" fillId="0" borderId="0" xfId="0" applyNumberFormat="1" applyFont="1" applyAlignment="1">
      <alignment horizontal="right"/>
    </xf>
    <xf numFmtId="0" fontId="14" fillId="0" borderId="0" xfId="0" applyFont="1" applyAlignment="1">
      <alignment horizontal="left"/>
    </xf>
    <xf numFmtId="0" fontId="1" fillId="2" borderId="0" xfId="0" applyFont="1" applyFill="1" applyAlignment="1">
      <alignment horizontal="right"/>
    </xf>
    <xf numFmtId="0" fontId="13" fillId="2" borderId="0" xfId="0" applyFont="1" applyFill="1" applyAlignment="1">
      <alignment horizontal="right"/>
    </xf>
    <xf numFmtId="0" fontId="14" fillId="3" borderId="0" xfId="0" applyFont="1" applyFill="1" applyAlignment="1">
      <alignment horizontal="right"/>
    </xf>
    <xf numFmtId="41" fontId="14" fillId="3" borderId="0" xfId="0" applyNumberFormat="1" applyFont="1" applyFill="1"/>
    <xf numFmtId="14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 horizontal="center"/>
    </xf>
    <xf numFmtId="43" fontId="1" fillId="0" borderId="3" xfId="0" applyNumberFormat="1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6" xfId="0" applyFont="1" applyBorder="1"/>
    <xf numFmtId="0" fontId="1" fillId="0" borderId="3" xfId="0" applyFont="1" applyBorder="1" applyAlignment="1"/>
    <xf numFmtId="165" fontId="1" fillId="0" borderId="0" xfId="0" applyNumberFormat="1" applyFont="1"/>
    <xf numFmtId="0" fontId="2" fillId="0" borderId="0" xfId="0" applyFont="1" applyAlignment="1">
      <alignment horizontal="left" vertical="top" wrapText="1"/>
    </xf>
    <xf numFmtId="43" fontId="2" fillId="0" borderId="0" xfId="0" applyNumberFormat="1" applyFont="1" applyAlignment="1">
      <alignment horizontal="center"/>
    </xf>
    <xf numFmtId="43" fontId="2" fillId="0" borderId="0" xfId="0" applyNumberFormat="1" applyFont="1" applyAlignment="1">
      <alignment horizontal="center"/>
    </xf>
    <xf numFmtId="169" fontId="2" fillId="0" borderId="0" xfId="0" applyNumberFormat="1" applyFont="1"/>
    <xf numFmtId="0" fontId="15" fillId="0" borderId="0" xfId="0" applyFont="1"/>
    <xf numFmtId="43" fontId="15" fillId="0" borderId="0" xfId="0" applyNumberFormat="1" applyFont="1"/>
    <xf numFmtId="0" fontId="1" fillId="0" borderId="0" xfId="0" applyFont="1" applyBorder="1"/>
    <xf numFmtId="41" fontId="1" fillId="0" borderId="0" xfId="0" applyNumberFormat="1" applyFont="1" applyFill="1"/>
    <xf numFmtId="43" fontId="2" fillId="0" borderId="0" xfId="0" applyNumberFormat="1" applyFont="1" applyAlignment="1">
      <alignment horizontal="center"/>
    </xf>
    <xf numFmtId="165" fontId="1" fillId="2" borderId="0" xfId="0" applyNumberFormat="1" applyFont="1" applyFill="1"/>
    <xf numFmtId="43" fontId="2" fillId="0" borderId="0" xfId="0" applyNumberFormat="1" applyFont="1" applyAlignment="1">
      <alignment horizontal="center"/>
    </xf>
    <xf numFmtId="170" fontId="0" fillId="0" borderId="0" xfId="0" applyNumberFormat="1"/>
    <xf numFmtId="171" fontId="0" fillId="0" borderId="0" xfId="0" applyNumberFormat="1" applyAlignment="1">
      <alignment horizontal="center"/>
    </xf>
    <xf numFmtId="14" fontId="0" fillId="0" borderId="0" xfId="0" applyNumberFormat="1"/>
    <xf numFmtId="0" fontId="16" fillId="0" borderId="0" xfId="0" applyFont="1"/>
    <xf numFmtId="0" fontId="15" fillId="0" borderId="0" xfId="0" pivotButton="1" applyFont="1"/>
    <xf numFmtId="0" fontId="15" fillId="0" borderId="0" xfId="0" applyFont="1" applyAlignment="1">
      <alignment horizontal="left"/>
    </xf>
    <xf numFmtId="0" fontId="15" fillId="0" borderId="0" xfId="0" applyFont="1" applyAlignment="1">
      <alignment horizontal="left" indent="1"/>
    </xf>
    <xf numFmtId="0" fontId="2" fillId="0" borderId="0" xfId="0" applyFont="1" applyAlignment="1">
      <alignment horizontal="center"/>
    </xf>
    <xf numFmtId="43" fontId="2" fillId="0" borderId="0" xfId="0" applyNumberFormat="1" applyFont="1" applyAlignment="1">
      <alignment horizontal="center"/>
    </xf>
  </cellXfs>
  <cellStyles count="1">
    <cellStyle name="Normal" xfId="0" builtinId="0"/>
  </cellStyles>
  <dxfs count="28">
    <dxf>
      <numFmt numFmtId="165" formatCode="_-* #,##0.00_-;\-* #,##0.00_-;_-* &quot;-&quot;_-;_-@_-"/>
    </dxf>
    <dxf>
      <font>
        <name val="Times New Roman"/>
        <scheme val="none"/>
      </font>
    </dxf>
    <dxf>
      <numFmt numFmtId="35" formatCode="_-* #,##0.00_-;\-* #,##0.00_-;_-* &quot;-&quot;??_-;_-@_-"/>
    </dxf>
    <dxf>
      <numFmt numFmtId="165" formatCode="_-* #,##0.00_-;\-* #,##0.00_-;_-* &quot;-&quot;_-;_-@_-"/>
    </dxf>
    <dxf>
      <font>
        <name val="Times New Roman"/>
        <scheme val="none"/>
      </font>
    </dxf>
    <dxf>
      <numFmt numFmtId="35" formatCode="_-* #,##0.00_-;\-* #,##0.00_-;_-* &quot;-&quot;??_-;_-@_-"/>
    </dxf>
    <dxf>
      <font>
        <name val="Times New Roman"/>
        <scheme val="none"/>
      </font>
    </dxf>
    <dxf>
      <numFmt numFmtId="2" formatCode="0.00"/>
    </dxf>
    <dxf>
      <numFmt numFmtId="35" formatCode="_-* #,##0.00_-;\-* #,##0.00_-;_-* &quot;-&quot;??_-;_-@_-"/>
    </dxf>
    <dxf>
      <numFmt numFmtId="165" formatCode="_-* #,##0.00_-;\-* #,##0.00_-;_-* &quot;-&quot;_-;_-@_-"/>
    </dxf>
    <dxf>
      <font>
        <name val="Times New Roman"/>
        <scheme val="none"/>
      </font>
    </dxf>
    <dxf>
      <numFmt numFmtId="35" formatCode="_-* #,##0.00_-;\-* #,##0.00_-;_-* &quot;-&quot;??_-;_-@_-"/>
    </dxf>
    <dxf>
      <font>
        <name val="Times New Roman"/>
        <scheme val="none"/>
      </font>
    </dxf>
    <dxf>
      <numFmt numFmtId="35" formatCode="_-* #,##0.00_-;\-* #,##0.00_-;_-* &quot;-&quot;??_-;_-@_-"/>
    </dxf>
    <dxf>
      <border>
        <top style="thin">
          <color indexed="64"/>
        </top>
      </border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numFmt numFmtId="35" formatCode="_-* #,##0.00_-;\-* #,##0.00_-;_-* &quot;-&quot;??_-;_-@_-"/>
    </dxf>
    <dxf>
      <font>
        <name val="Times New Roman"/>
        <scheme val="none"/>
      </font>
    </dxf>
    <dxf>
      <numFmt numFmtId="35" formatCode="_-* #,##0.00_-;\-* #,##0.00_-;_-* &quot;-&quot;??_-;_-@_-"/>
    </dxf>
    <dxf>
      <numFmt numFmtId="2" formatCode="0.00"/>
    </dxf>
    <dxf>
      <font>
        <name val="Times New Roman"/>
        <scheme val="none"/>
      </font>
    </dxf>
    <dxf>
      <numFmt numFmtId="35" formatCode="_-* #,##0.00_-;\-* #,##0.00_-;_-* &quot;-&quot;??_-;_-@_-"/>
    </dxf>
    <dxf>
      <font>
        <name val="Times New Roman"/>
        <scheme val="none"/>
      </font>
    </dxf>
    <dxf>
      <numFmt numFmtId="165" formatCode="_-* #,##0.00_-;\-* #,##0.00_-;_-* &quot;-&quot;_-;_-@_-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pivotCacheDefinition" Target="pivotCache/pivotCacheDefinition2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pivotCacheDefinition" Target="pivotCache/pivotCacheDefinition1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pivotCacheDefinition" Target="pivotCache/pivotCacheDefinition3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_rels/pivotCacheDefinition3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3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alcolm" refreshedDate="41470.315097569444" createdVersion="3" refreshedVersion="3" recordCount="111">
  <cacheSource type="worksheet">
    <worksheetSource ref="E2:M113" sheet="ReceiptsExpenditure"/>
  </cacheSource>
  <cacheFields count="9">
    <cacheField name="Event" numFmtId="49">
      <sharedItems containsBlank="1" count="13">
        <m/>
        <s v="Coach Education"/>
        <s v="Regional activity"/>
        <s v="Academy"/>
        <s v="Herts Uni DO" u="1"/>
        <s v="Coaching" u="1"/>
        <s v="Tristars" u="1"/>
        <s v="Event 1" u="1"/>
        <s v="Schools Aquathlon" u="1"/>
        <s v="IRC" u="1"/>
        <s v="Dinner Dance" u="1"/>
        <s v="Essex DRA" u="1"/>
        <s v="Schools_aqua" u="1"/>
      </sharedItems>
    </cacheField>
    <cacheField name="Course Number" numFmtId="49">
      <sharedItems containsBlank="1" count="37">
        <m/>
        <s v="E330"/>
        <s v="L2 Cedars"/>
        <s v="L2 Basildon"/>
        <s v="L1 Imp"/>
        <s v="E323"/>
        <s v="L1 Cantab"/>
        <s v="L2 LB"/>
        <s v="EM310"/>
        <s v="E325"/>
        <s v="E326"/>
        <s v="E324"/>
        <s v="RTO"/>
        <s v="E316"/>
        <s v="LTO"/>
        <s v="L1" u="1"/>
        <s v="E310" u="1"/>
        <s v="L2 ???" u="1"/>
        <s v="L1 Chelmsford" u="1"/>
        <s v="E309" u="1"/>
        <s v="L1 Tiddenfoot" u="1"/>
        <s v="????" u="1"/>
        <s v="???" u="1"/>
        <s v="L2 Watford" u="1"/>
        <s v="L1 Feb" u="1"/>
        <s v="E232" u="1"/>
        <s v="L1 ???" u="1"/>
        <s v="L2" u="1"/>
        <s v="??????" u="1"/>
        <s v="L1 Mar 2010" u="1"/>
        <s v="E228" u="1"/>
        <s v="L2 Feb" u="1"/>
        <s v="L2 Feb 2012" u="1"/>
        <s v="E227" u="1"/>
        <s v="First Aid Dec 11" u="1"/>
        <s v="L1 April" u="1"/>
        <s v="E311" u="1"/>
      </sharedItems>
    </cacheField>
    <cacheField name="Category" numFmtId="49">
      <sharedItems containsBlank="1" count="44">
        <m/>
        <s v="Income"/>
        <s v="Training Camp"/>
        <s v="Coaches"/>
        <s v="Training manuals"/>
        <s v="Officiating"/>
        <s v="Annual awards"/>
        <s v="Venues"/>
        <s v="Event quality"/>
        <s v="Coaching Bursary"/>
        <s v="Royalties"/>
        <s v="Assessment"/>
        <s v="AGM"/>
        <s v="Website"/>
        <s v="Travel"/>
        <s v="Kit"/>
        <s v="Interest"/>
        <s v="Misc expense"/>
        <s v="BTA Grant"/>
        <s v="BTF Admin Charges"/>
        <s v="Race league" u="1"/>
        <s v="Meals" u="1"/>
        <s v="Consultancy" u="1"/>
        <s v="Academy" u="1"/>
        <s v="Tristars" u="1"/>
        <s v="League races" u="1"/>
        <s v="Club Accreditation" u="1"/>
        <s v="Charity Donations" u="1"/>
        <s v="Coach award grant" u="1"/>
        <s v="Printer cartridge" u="1"/>
        <s v="Race entries" u="1"/>
        <s v="Training events" u="1"/>
        <s v="Club quality" u="1"/>
        <s v="Quality volunteers" u="1"/>
        <s v="First Aid Cover" u="1"/>
        <s v="Regional governance" u="1"/>
        <s v="Race numbers" u="1"/>
        <s v="Prizes" u="1"/>
        <s v="On-the-day expenses" u="1"/>
        <s v="Accommodation" u="1"/>
        <s v="exdra" u="1"/>
        <s v="Exam Fees" u="1"/>
        <s v="Postage" u="1"/>
        <s v="Training days" u="1"/>
      </sharedItems>
    </cacheField>
    <cacheField name="Details" numFmtId="0">
      <sharedItems containsBlank="1"/>
    </cacheField>
    <cacheField name="Debit" numFmtId="0">
      <sharedItems containsString="0" containsBlank="1" containsNumber="1" minValue="4" maxValue="2238"/>
    </cacheField>
    <cacheField name="Credit" numFmtId="0">
      <sharedItems containsString="0" containsBlank="1" containsNumber="1" minValue="0.48" maxValue="6190"/>
    </cacheField>
    <cacheField name="Transaction" numFmtId="0">
      <sharedItems containsBlank="1" count="4">
        <m/>
        <s v=""/>
        <s v="Credit"/>
        <s v="Debit"/>
      </sharedItems>
    </cacheField>
    <cacheField name="Heading" numFmtId="0">
      <sharedItems containsBlank="1"/>
    </cacheField>
    <cacheField name="Amount" numFmtId="0">
      <sharedItems containsString="0" containsBlank="1" containsNumber="1" minValue="-2238" maxValue="6190"/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Malcolm" refreshedDate="41470.315098379629" createdVersion="3" refreshedVersion="3" minRefreshableVersion="3" recordCount="115">
  <cacheSource type="worksheet">
    <worksheetSource ref="E2:M117" sheet="ReceiptsExpenditure"/>
  </cacheSource>
  <cacheFields count="9">
    <cacheField name="Event" numFmtId="49">
      <sharedItems containsBlank="1" count="4">
        <m/>
        <s v="Coach Education"/>
        <s v="Regional activity"/>
        <s v="Academy"/>
      </sharedItems>
    </cacheField>
    <cacheField name="Course Number" numFmtId="49">
      <sharedItems containsBlank="1"/>
    </cacheField>
    <cacheField name="Category" numFmtId="49">
      <sharedItems containsBlank="1" count="20">
        <m/>
        <s v="Income"/>
        <s v="Training Camp"/>
        <s v="Coaches"/>
        <s v="Training manuals"/>
        <s v="Officiating"/>
        <s v="Annual awards"/>
        <s v="Venues"/>
        <s v="Event quality"/>
        <s v="Coaching Bursary"/>
        <s v="Royalties"/>
        <s v="Assessment"/>
        <s v="AGM"/>
        <s v="Website"/>
        <s v="Travel"/>
        <s v="Kit"/>
        <s v="Interest"/>
        <s v="Misc expense"/>
        <s v="BTA Grant"/>
        <s v="BTF Admin Charges"/>
      </sharedItems>
    </cacheField>
    <cacheField name="Details" numFmtId="0">
      <sharedItems containsBlank="1"/>
    </cacheField>
    <cacheField name="Debit" numFmtId="0">
      <sharedItems containsString="0" containsBlank="1" containsNumber="1" minValue="4" maxValue="2238"/>
    </cacheField>
    <cacheField name="Credit" numFmtId="0">
      <sharedItems containsString="0" containsBlank="1" containsNumber="1" minValue="0.48" maxValue="6190"/>
    </cacheField>
    <cacheField name="Transaction" numFmtId="0">
      <sharedItems containsBlank="1" count="4">
        <m/>
        <s v=""/>
        <s v="Credit"/>
        <s v="Debit"/>
      </sharedItems>
    </cacheField>
    <cacheField name="Heading" numFmtId="0">
      <sharedItems containsBlank="1"/>
    </cacheField>
    <cacheField name="Amount" numFmtId="0">
      <sharedItems containsString="0" containsBlank="1" containsNumber="1" minValue="-2238" maxValue="6190"/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refreshedBy="Malcolm" refreshedDate="41470.31509895833" createdVersion="3" refreshedVersion="3" minRefreshableVersion="3" recordCount="115">
  <cacheSource type="worksheet">
    <worksheetSource ref="A2:AS117" sheet="ReceiptsExpenditure"/>
  </cacheSource>
  <cacheFields count="45">
    <cacheField name="Date" numFmtId="0">
      <sharedItems containsNonDate="0" containsDate="1" containsString="0" containsBlank="1" minDate="2012-04-03T00:00:00" maxDate="2013-03-28T00:00:00"/>
    </cacheField>
    <cacheField name="Number" numFmtId="0">
      <sharedItems containsBlank="1" containsMixedTypes="1" containsNumber="1" containsInteger="1" minValue="100148" maxValue="100151"/>
    </cacheField>
    <cacheField name="Receipt?" numFmtId="49">
      <sharedItems containsBlank="1"/>
    </cacheField>
    <cacheField name="Number2" numFmtId="49">
      <sharedItems containsBlank="1"/>
    </cacheField>
    <cacheField name="Event" numFmtId="49">
      <sharedItems containsBlank="1"/>
    </cacheField>
    <cacheField name="Course Number" numFmtId="49">
      <sharedItems containsBlank="1"/>
    </cacheField>
    <cacheField name="Category" numFmtId="49">
      <sharedItems containsBlank="1"/>
    </cacheField>
    <cacheField name="Details" numFmtId="0">
      <sharedItems containsBlank="1"/>
    </cacheField>
    <cacheField name="Debit" numFmtId="0">
      <sharedItems containsString="0" containsBlank="1" containsNumber="1" minValue="4" maxValue="2238"/>
    </cacheField>
    <cacheField name="Credit" numFmtId="0">
      <sharedItems containsString="0" containsBlank="1" containsNumber="1" minValue="0.48" maxValue="6190"/>
    </cacheField>
    <cacheField name="Transaction" numFmtId="0">
      <sharedItems containsBlank="1" count="4">
        <m/>
        <s v=""/>
        <s v="Credit"/>
        <s v="Debit"/>
      </sharedItems>
    </cacheField>
    <cacheField name="Heading" numFmtId="0">
      <sharedItems containsBlank="1" count="12">
        <m/>
        <s v="Coach Education"/>
        <s v="Miscellaneous"/>
        <s v="Officiating"/>
        <s v="Annual Awards"/>
        <s v="Governance"/>
        <s v="AGM"/>
        <s v="Regional Website"/>
        <s v="Academy"/>
        <s v="Inter-regional championships"/>
        <s v="Interest"/>
        <s v="BTF Regional Grant"/>
      </sharedItems>
    </cacheField>
    <cacheField name="Amount" numFmtId="0">
      <sharedItems containsString="0" containsBlank="1" containsNumber="1" minValue="-2238" maxValue="6190"/>
    </cacheField>
    <cacheField name="Debit2" numFmtId="43">
      <sharedItems containsString="0" containsBlank="1" containsNumber="1" minValue="40" maxValue="2238"/>
    </cacheField>
    <cacheField name="Credit2" numFmtId="43">
      <sharedItems containsString="0" containsBlank="1" containsNumber="1" containsInteger="1" minValue="183" maxValue="4125"/>
    </cacheField>
    <cacheField name="Debit3" numFmtId="43">
      <sharedItems containsNonDate="0" containsString="0" containsBlank="1"/>
    </cacheField>
    <cacheField name="Credit3" numFmtId="43">
      <sharedItems containsNonDate="0" containsString="0" containsBlank="1"/>
    </cacheField>
    <cacheField name="Debit4" numFmtId="43">
      <sharedItems containsString="0" containsBlank="1" containsNumber="1" minValue="198.25" maxValue="500"/>
    </cacheField>
    <cacheField name="Credit4" numFmtId="43">
      <sharedItems containsNonDate="0" containsString="0" containsBlank="1"/>
    </cacheField>
    <cacheField name="Debit5" numFmtId="43">
      <sharedItems containsString="0" containsBlank="1" containsNumber="1" minValue="4" maxValue="1000"/>
    </cacheField>
    <cacheField name="Credit5" numFmtId="43">
      <sharedItems containsString="0" containsBlank="1" containsNumber="1" minValue="15" maxValue="6190"/>
    </cacheField>
    <cacheField name="Debit6" numFmtId="43">
      <sharedItems containsString="0" containsBlank="1" containsNumber="1" minValue="51.09" maxValue="275"/>
    </cacheField>
    <cacheField name="Credit6" numFmtId="43">
      <sharedItems containsString="0" containsBlank="1" containsNumber="1" containsInteger="1" minValue="2750" maxValue="2750"/>
    </cacheField>
    <cacheField name="Debit7" numFmtId="43">
      <sharedItems containsString="0" containsBlank="1" containsNumber="1" minValue="20" maxValue="1400"/>
    </cacheField>
    <cacheField name="Credit7" numFmtId="43">
      <sharedItems containsString="0" containsBlank="1" containsNumber="1" containsInteger="1" minValue="1500" maxValue="1500"/>
    </cacheField>
    <cacheField name="Debit8" numFmtId="43">
      <sharedItems containsNonDate="0" containsString="0" containsBlank="1"/>
    </cacheField>
    <cacheField name="Credit8" numFmtId="43">
      <sharedItems containsNonDate="0" containsString="0" containsBlank="1"/>
    </cacheField>
    <cacheField name="Debit9" numFmtId="43">
      <sharedItems containsNonDate="0" containsString="0" containsBlank="1"/>
    </cacheField>
    <cacheField name="Credit9" numFmtId="43">
      <sharedItems containsNonDate="0" containsString="0" containsBlank="1"/>
    </cacheField>
    <cacheField name="Debit10" numFmtId="43">
      <sharedItems containsNonDate="0" containsString="0" containsBlank="1"/>
    </cacheField>
    <cacheField name="Credit10" numFmtId="43">
      <sharedItems containsNonDate="0" containsString="0" containsBlank="1"/>
    </cacheField>
    <cacheField name="Debit11" numFmtId="43">
      <sharedItems containsNonDate="0" containsString="0" containsBlank="1"/>
    </cacheField>
    <cacheField name="Credit11" numFmtId="43">
      <sharedItems containsNonDate="0" containsString="0" containsBlank="1"/>
    </cacheField>
    <cacheField name="Debit12" numFmtId="43">
      <sharedItems containsNonDate="0" containsString="0" containsBlank="1"/>
    </cacheField>
    <cacheField name="Credit12" numFmtId="43">
      <sharedItems containsString="0" containsBlank="1" containsNumber="1" minValue="0.48" maxValue="1.49"/>
    </cacheField>
    <cacheField name="Debit13" numFmtId="43">
      <sharedItems containsNonDate="0" containsString="0" containsBlank="1"/>
    </cacheField>
    <cacheField name="Credit13" numFmtId="43">
      <sharedItems containsNonDate="0" containsString="0" containsBlank="1"/>
    </cacheField>
    <cacheField name="Debit14" numFmtId="43">
      <sharedItems containsNonDate="0" containsString="0" containsBlank="1"/>
    </cacheField>
    <cacheField name="Credit14" numFmtId="43">
      <sharedItems containsNonDate="0" containsString="0" containsBlank="1"/>
    </cacheField>
    <cacheField name="Debit15" numFmtId="43">
      <sharedItems containsString="0" containsBlank="1" containsNumber="1" minValue="898.2" maxValue="898.2"/>
    </cacheField>
    <cacheField name="Credit15" numFmtId="43">
      <sharedItems containsString="0" containsBlank="1" containsNumber="1" containsInteger="1" minValue="1500" maxValue="1500"/>
    </cacheField>
    <cacheField name="Debit16" numFmtId="0">
      <sharedItems containsString="0" containsBlank="1" containsNumber="1" minValue="683.9" maxValue="683.9"/>
    </cacheField>
    <cacheField name="Credit16" numFmtId="0">
      <sharedItems containsString="0" containsBlank="1" containsNumber="1" containsInteger="1" minValue="50" maxValue="120"/>
    </cacheField>
    <cacheField name="Debit17" numFmtId="43">
      <sharedItems containsString="0" containsBlank="1" containsNumber="1" minValue="0" maxValue="2238"/>
    </cacheField>
    <cacheField name="Credit17" numFmtId="43">
      <sharedItems containsString="0" containsBlank="1" containsNumber="1" minValue="0" maxValue="6190"/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11">
  <r>
    <x v="0"/>
    <x v="0"/>
    <x v="0"/>
    <m/>
    <m/>
    <m/>
    <x v="0"/>
    <m/>
    <m/>
  </r>
  <r>
    <x v="0"/>
    <x v="0"/>
    <x v="0"/>
    <m/>
    <m/>
    <m/>
    <x v="1"/>
    <m/>
    <n v="0"/>
  </r>
  <r>
    <x v="0"/>
    <x v="0"/>
    <x v="0"/>
    <m/>
    <m/>
    <m/>
    <x v="0"/>
    <m/>
    <m/>
  </r>
  <r>
    <x v="1"/>
    <x v="1"/>
    <x v="1"/>
    <s v="Coach Education"/>
    <m/>
    <n v="4125"/>
    <x v="2"/>
    <m/>
    <n v="4125"/>
  </r>
  <r>
    <x v="1"/>
    <x v="0"/>
    <x v="2"/>
    <s v="Heather Williams - Jan Swim camp"/>
    <n v="698.09"/>
    <m/>
    <x v="3"/>
    <s v="Coach Education"/>
    <n v="-698.09"/>
  </r>
  <r>
    <x v="1"/>
    <x v="2"/>
    <x v="3"/>
    <s v="Simon Edwards"/>
    <n v="250"/>
    <m/>
    <x v="3"/>
    <s v="Coach Education"/>
    <n v="-250"/>
  </r>
  <r>
    <x v="1"/>
    <x v="3"/>
    <x v="3"/>
    <s v="Simon Edwards"/>
    <n v="250"/>
    <m/>
    <x v="3"/>
    <s v="Coach Education"/>
    <n v="-250"/>
  </r>
  <r>
    <x v="1"/>
    <x v="3"/>
    <x v="3"/>
    <s v="Karl Grainger"/>
    <n v="250"/>
    <m/>
    <x v="3"/>
    <s v="Coach Education"/>
    <n v="-250"/>
  </r>
  <r>
    <x v="1"/>
    <x v="4"/>
    <x v="3"/>
    <s v="C Short"/>
    <n v="250"/>
    <m/>
    <x v="3"/>
    <s v="Coach Education"/>
    <n v="-250"/>
  </r>
  <r>
    <x v="1"/>
    <x v="4"/>
    <x v="3"/>
    <s v="C Short"/>
    <n v="500"/>
    <m/>
    <x v="3"/>
    <s v="Coach Education"/>
    <n v="-500"/>
  </r>
  <r>
    <x v="1"/>
    <x v="5"/>
    <x v="4"/>
    <s v="Coachwise (5049358)"/>
    <n v="672"/>
    <m/>
    <x v="3"/>
    <s v="Coach Education"/>
    <n v="-672"/>
  </r>
  <r>
    <x v="2"/>
    <x v="0"/>
    <x v="0"/>
    <s v="Custom SCR - Eastern Region t-shirts"/>
    <n v="363.9"/>
    <m/>
    <x v="3"/>
    <s v="Miscellaneous"/>
    <n v="-363.9"/>
  </r>
  <r>
    <x v="2"/>
    <x v="0"/>
    <x v="5"/>
    <s v="SportsInstinct (RO t-shirts)"/>
    <n v="898.2"/>
    <m/>
    <x v="3"/>
    <s v="Officiating"/>
    <n v="-898.2"/>
  </r>
  <r>
    <x v="1"/>
    <x v="3"/>
    <x v="3"/>
    <s v="Simon Brierley"/>
    <n v="250"/>
    <m/>
    <x v="3"/>
    <s v="Coach Education"/>
    <n v="-250"/>
  </r>
  <r>
    <x v="1"/>
    <x v="6"/>
    <x v="3"/>
    <s v="Geraldine Howard"/>
    <n v="513.24"/>
    <m/>
    <x v="3"/>
    <s v="Coach Education"/>
    <n v="-513.24"/>
  </r>
  <r>
    <x v="1"/>
    <x v="7"/>
    <x v="3"/>
    <s v="Geraldine Howard"/>
    <n v="250"/>
    <m/>
    <x v="3"/>
    <s v="Coach Education"/>
    <n v="-250"/>
  </r>
  <r>
    <x v="1"/>
    <x v="2"/>
    <x v="3"/>
    <s v="Simom Edwards"/>
    <n v="250"/>
    <m/>
    <x v="3"/>
    <s v="Coach Education"/>
    <n v="-250"/>
  </r>
  <r>
    <x v="1"/>
    <x v="0"/>
    <x v="1"/>
    <s v="Coach Education"/>
    <m/>
    <n v="275"/>
    <x v="2"/>
    <s v="Coach Education"/>
    <n v="275"/>
  </r>
  <r>
    <x v="2"/>
    <x v="0"/>
    <x v="6"/>
    <s v="Elveden Farms"/>
    <m/>
    <n v="50"/>
    <x v="2"/>
    <s v="Annual Awards"/>
    <n v="50"/>
  </r>
  <r>
    <x v="1"/>
    <x v="1"/>
    <x v="7"/>
    <s v="Uttlesford Leisure"/>
    <n v="700"/>
    <m/>
    <x v="3"/>
    <s v="Coach Education"/>
    <n v="-700"/>
  </r>
  <r>
    <x v="1"/>
    <x v="8"/>
    <x v="1"/>
    <s v="Coach Education"/>
    <m/>
    <n v="550"/>
    <x v="2"/>
    <s v="Coach Education"/>
    <n v="550"/>
  </r>
  <r>
    <x v="1"/>
    <x v="4"/>
    <x v="1"/>
    <s v="British Triathlon - coaching bursary"/>
    <m/>
    <n v="825"/>
    <x v="2"/>
    <m/>
    <n v="825"/>
  </r>
  <r>
    <x v="1"/>
    <x v="8"/>
    <x v="4"/>
    <s v="Coachwise"/>
    <n v="672"/>
    <m/>
    <x v="3"/>
    <s v="Coach Education"/>
    <n v="-672"/>
  </r>
  <r>
    <x v="1"/>
    <x v="9"/>
    <x v="3"/>
    <s v="V Ulfik (L2 Cedars)"/>
    <n v="1000"/>
    <m/>
    <x v="3"/>
    <s v="Coach Education"/>
    <n v="-1000"/>
  </r>
  <r>
    <x v="1"/>
    <x v="10"/>
    <x v="3"/>
    <s v="Simon Brierley"/>
    <n v="250"/>
    <m/>
    <x v="3"/>
    <s v="Coach Education"/>
    <n v="-250"/>
  </r>
  <r>
    <x v="2"/>
    <x v="0"/>
    <x v="8"/>
    <s v="Blue Splat"/>
    <n v="2238"/>
    <m/>
    <x v="3"/>
    <m/>
    <n v="-2238"/>
  </r>
  <r>
    <x v="1"/>
    <x v="10"/>
    <x v="3"/>
    <s v="Geraldine Howard"/>
    <n v="250"/>
    <m/>
    <x v="3"/>
    <s v="Coach Education"/>
    <n v="-250"/>
  </r>
  <r>
    <x v="1"/>
    <x v="0"/>
    <x v="1"/>
    <s v="Bank charge"/>
    <n v="4"/>
    <m/>
    <x v="3"/>
    <s v="Coach Education"/>
    <n v="-4"/>
  </r>
  <r>
    <x v="1"/>
    <x v="0"/>
    <x v="1"/>
    <s v="Unpaid cheque"/>
    <n v="275"/>
    <m/>
    <x v="3"/>
    <s v="Coach Education"/>
    <n v="-275"/>
  </r>
  <r>
    <x v="1"/>
    <x v="8"/>
    <x v="1"/>
    <s v="Coach Education (EM310)"/>
    <m/>
    <n v="1925"/>
    <x v="2"/>
    <s v="Coach Education"/>
    <n v="1925"/>
  </r>
  <r>
    <x v="0"/>
    <x v="0"/>
    <x v="0"/>
    <s v="British Triathlon"/>
    <m/>
    <n v="374"/>
    <x v="2"/>
    <m/>
    <n v="374"/>
  </r>
  <r>
    <x v="2"/>
    <x v="0"/>
    <x v="6"/>
    <s v="Nice Tri"/>
    <m/>
    <n v="120"/>
    <x v="2"/>
    <s v="Annual Awards"/>
    <n v="120"/>
  </r>
  <r>
    <x v="2"/>
    <x v="0"/>
    <x v="6"/>
    <s v="Tri-Anglia"/>
    <m/>
    <n v="100"/>
    <x v="2"/>
    <s v="Annual Awards"/>
    <n v="100"/>
  </r>
  <r>
    <x v="2"/>
    <x v="0"/>
    <x v="6"/>
    <s v="Monster Racing"/>
    <m/>
    <n v="50"/>
    <x v="2"/>
    <s v="Annual Awards"/>
    <n v="50"/>
  </r>
  <r>
    <x v="1"/>
    <x v="8"/>
    <x v="1"/>
    <s v="Coach Educationn (EM310)"/>
    <m/>
    <n v="825"/>
    <x v="2"/>
    <s v="Coach Education"/>
    <n v="825"/>
  </r>
  <r>
    <x v="1"/>
    <x v="0"/>
    <x v="3"/>
    <s v="Simon Edwards"/>
    <n v="500"/>
    <m/>
    <x v="3"/>
    <s v="Coach Education"/>
    <n v="-500"/>
  </r>
  <r>
    <x v="1"/>
    <x v="0"/>
    <x v="1"/>
    <s v="RPM??"/>
    <m/>
    <n v="500"/>
    <x v="2"/>
    <s v="Coach Education"/>
    <n v="500"/>
  </r>
  <r>
    <x v="0"/>
    <x v="0"/>
    <x v="5"/>
    <s v="British Triathlon"/>
    <m/>
    <n v="1500"/>
    <x v="2"/>
    <s v="Officiating"/>
    <n v="1500"/>
  </r>
  <r>
    <x v="1"/>
    <x v="10"/>
    <x v="3"/>
    <s v="Karl Grainger"/>
    <n v="1000"/>
    <m/>
    <x v="3"/>
    <s v="Coach Education"/>
    <n v="-1000"/>
  </r>
  <r>
    <x v="1"/>
    <x v="0"/>
    <x v="9"/>
    <s v="Adrian Barbrooke"/>
    <n v="247.5"/>
    <m/>
    <x v="3"/>
    <s v="Coach Education"/>
    <n v="-247.5"/>
  </r>
  <r>
    <x v="2"/>
    <x v="0"/>
    <x v="7"/>
    <s v="Ashley Nicholson, February meeting venue"/>
    <n v="105.4"/>
    <m/>
    <x v="3"/>
    <s v="Governance"/>
    <n v="-105.4"/>
  </r>
  <r>
    <x v="1"/>
    <x v="9"/>
    <x v="10"/>
    <s v="British Triathlon"/>
    <n v="420"/>
    <m/>
    <x v="3"/>
    <s v="Coach Education"/>
    <n v="-420"/>
  </r>
  <r>
    <x v="1"/>
    <x v="11"/>
    <x v="10"/>
    <s v="British Triathlon"/>
    <n v="385"/>
    <m/>
    <x v="3"/>
    <s v="Coach Education"/>
    <n v="-385"/>
  </r>
  <r>
    <x v="1"/>
    <x v="10"/>
    <x v="4"/>
    <s v="Coachwise"/>
    <n v="864"/>
    <m/>
    <x v="3"/>
    <s v="Coach Education"/>
    <n v="-864"/>
  </r>
  <r>
    <x v="1"/>
    <x v="9"/>
    <x v="3"/>
    <s v="Ricky Lee (repayment?)"/>
    <m/>
    <n v="750"/>
    <x v="2"/>
    <s v="Coach Education"/>
    <n v="750"/>
  </r>
  <r>
    <x v="1"/>
    <x v="9"/>
    <x v="3"/>
    <s v="Simon Edwards"/>
    <n v="500"/>
    <m/>
    <x v="3"/>
    <s v="Coach Education"/>
    <n v="500"/>
  </r>
  <r>
    <x v="1"/>
    <x v="9"/>
    <x v="3"/>
    <s v="Simon Edwards"/>
    <n v="500"/>
    <m/>
    <x v="3"/>
    <s v="Coach Education"/>
    <n v="500"/>
  </r>
  <r>
    <x v="1"/>
    <x v="10"/>
    <x v="11"/>
    <s v="Paul Moss"/>
    <n v="24"/>
    <m/>
    <x v="3"/>
    <s v="Coach Education"/>
    <n v="24"/>
  </r>
  <r>
    <x v="1"/>
    <x v="9"/>
    <x v="3"/>
    <s v="Ricky Lee"/>
    <n v="750"/>
    <m/>
    <x v="3"/>
    <s v="Coach Education"/>
    <n v="750"/>
  </r>
  <r>
    <x v="1"/>
    <x v="11"/>
    <x v="7"/>
    <s v="Cedars Upper School"/>
    <n v="450"/>
    <m/>
    <x v="3"/>
    <s v="Coach Education"/>
    <n v="450"/>
  </r>
  <r>
    <x v="1"/>
    <x v="10"/>
    <x v="3"/>
    <s v="Simon Edwards"/>
    <n v="500"/>
    <m/>
    <x v="3"/>
    <s v="Coach Education"/>
    <n v="-500"/>
  </r>
  <r>
    <x v="1"/>
    <x v="0"/>
    <x v="9"/>
    <s v="???"/>
    <n v="495"/>
    <m/>
    <x v="3"/>
    <s v="Coach Education"/>
    <n v="-495"/>
  </r>
  <r>
    <x v="1"/>
    <x v="10"/>
    <x v="1"/>
    <s v="Coach Education (E326, Nov, Basildon)"/>
    <m/>
    <n v="6190"/>
    <x v="2"/>
    <s v="Coach Education"/>
    <n v="6190"/>
  </r>
  <r>
    <x v="1"/>
    <x v="11"/>
    <x v="3"/>
    <s v="Paula Dewar"/>
    <n v="750"/>
    <m/>
    <x v="3"/>
    <s v="Coach Education"/>
    <n v="-750"/>
  </r>
  <r>
    <x v="2"/>
    <x v="0"/>
    <x v="12"/>
    <s v="Richard Fuller"/>
    <n v="218"/>
    <m/>
    <x v="3"/>
    <s v="AGM"/>
    <n v="-218"/>
  </r>
  <r>
    <x v="2"/>
    <x v="0"/>
    <x v="6"/>
    <s v="Richard Fuller"/>
    <n v="683.9"/>
    <m/>
    <x v="3"/>
    <s v="Annual Awards"/>
    <n v="-683.9"/>
  </r>
  <r>
    <x v="2"/>
    <x v="0"/>
    <x v="13"/>
    <s v="Richard Fuller"/>
    <n v="51.09"/>
    <m/>
    <x v="3"/>
    <s v="Regional Website"/>
    <n v="-51.09"/>
  </r>
  <r>
    <x v="3"/>
    <x v="0"/>
    <x v="2"/>
    <s v="Tim Williams"/>
    <n v="1400"/>
    <m/>
    <x v="3"/>
    <s v="Academy"/>
    <n v="-1400"/>
  </r>
  <r>
    <x v="3"/>
    <x v="0"/>
    <x v="7"/>
    <s v="Tim Williams"/>
    <n v="20"/>
    <m/>
    <x v="3"/>
    <s v="Academy"/>
    <n v="-20"/>
  </r>
  <r>
    <x v="3"/>
    <x v="0"/>
    <x v="14"/>
    <s v="Tim Williams"/>
    <n v="102.5"/>
    <m/>
    <x v="3"/>
    <s v="Academy"/>
    <n v="-102.5"/>
  </r>
  <r>
    <x v="3"/>
    <x v="0"/>
    <x v="7"/>
    <s v="Tim Williams"/>
    <n v="217.5"/>
    <m/>
    <x v="3"/>
    <s v="Academy"/>
    <n v="-217.5"/>
  </r>
  <r>
    <x v="2"/>
    <x v="0"/>
    <x v="15"/>
    <s v="Tim Williams (IRC kit)"/>
    <n v="198.25"/>
    <m/>
    <x v="3"/>
    <s v="Inter-regional championships"/>
    <n v="-198.25"/>
  </r>
  <r>
    <x v="3"/>
    <x v="0"/>
    <x v="14"/>
    <s v="Tim Williams"/>
    <n v="163"/>
    <m/>
    <x v="3"/>
    <s v="Academy"/>
    <n v="-163"/>
  </r>
  <r>
    <x v="2"/>
    <x v="0"/>
    <x v="16"/>
    <s v="Gross interest on savings account"/>
    <m/>
    <n v="1.44"/>
    <x v="2"/>
    <s v="Interest"/>
    <n v="1.44"/>
  </r>
  <r>
    <x v="1"/>
    <x v="0"/>
    <x v="17"/>
    <s v="HSBC - Bank charge"/>
    <n v="4"/>
    <m/>
    <x v="3"/>
    <s v="Coach Education"/>
    <n v="-4"/>
  </r>
  <r>
    <x v="1"/>
    <x v="9"/>
    <x v="4"/>
    <s v="Coachwise"/>
    <n v="702"/>
    <m/>
    <x v="3"/>
    <s v="Coach Education"/>
    <n v="-702"/>
  </r>
  <r>
    <x v="1"/>
    <x v="0"/>
    <x v="1"/>
    <s v="Coach Education"/>
    <m/>
    <n v="4207.5"/>
    <x v="2"/>
    <s v="Coach Education"/>
    <n v="4207.5"/>
  </r>
  <r>
    <x v="1"/>
    <x v="11"/>
    <x v="4"/>
    <s v="Coachwise"/>
    <n v="768"/>
    <m/>
    <x v="3"/>
    <s v="Coach Education"/>
    <n v="-768"/>
  </r>
  <r>
    <x v="3"/>
    <x v="0"/>
    <x v="18"/>
    <s v="British Triathlon"/>
    <m/>
    <n v="1500"/>
    <x v="2"/>
    <s v="Academy"/>
    <n v="1500"/>
  </r>
  <r>
    <x v="1"/>
    <x v="10"/>
    <x v="1"/>
    <s v="CAF Funding (x3)"/>
    <m/>
    <n v="740"/>
    <x v="2"/>
    <s v="Coach Education"/>
    <n v="740"/>
  </r>
  <r>
    <x v="1"/>
    <x v="0"/>
    <x v="1"/>
    <s v="Coach Education"/>
    <m/>
    <n v="275"/>
    <x v="2"/>
    <s v="Coach Education"/>
    <n v="275"/>
  </r>
  <r>
    <x v="1"/>
    <x v="0"/>
    <x v="1"/>
    <s v="Coach Education"/>
    <m/>
    <n v="45"/>
    <x v="2"/>
    <s v="Coach Education"/>
    <n v="45"/>
  </r>
  <r>
    <x v="1"/>
    <x v="0"/>
    <x v="19"/>
    <s v="BTF Admin Fees"/>
    <n v="9.0500000000000007"/>
    <m/>
    <x v="3"/>
    <s v="Coach Education"/>
    <n v="-9.0500000000000007"/>
  </r>
  <r>
    <x v="1"/>
    <x v="11"/>
    <x v="1"/>
    <s v="Coach Education"/>
    <m/>
    <n v="2475"/>
    <x v="2"/>
    <s v="Coach Education"/>
    <n v="2475"/>
  </r>
  <r>
    <x v="2"/>
    <x v="0"/>
    <x v="16"/>
    <s v="Gross interest on savings account"/>
    <m/>
    <n v="1.49"/>
    <x v="2"/>
    <s v="Interest"/>
    <n v="1.49"/>
  </r>
  <r>
    <x v="1"/>
    <x v="9"/>
    <x v="1"/>
    <s v="Leighton Buzzard Tri"/>
    <m/>
    <n v="495"/>
    <x v="2"/>
    <s v="Coach Education"/>
    <n v="495"/>
  </r>
  <r>
    <x v="1"/>
    <x v="11"/>
    <x v="1"/>
    <s v="Leighton Buzzard Tri"/>
    <m/>
    <n v="550"/>
    <x v="2"/>
    <s v="Coach Education"/>
    <n v="550"/>
  </r>
  <r>
    <x v="2"/>
    <x v="0"/>
    <x v="15"/>
    <s v="Impsport - balance on IRC kit"/>
    <n v="487.5"/>
    <m/>
    <x v="3"/>
    <s v="Inter-regional championships"/>
    <n v="-487.5"/>
  </r>
  <r>
    <x v="1"/>
    <x v="12"/>
    <x v="7"/>
    <s v="Hemel Hempstead Cycle Club"/>
    <n v="35"/>
    <m/>
    <x v="3"/>
    <s v="Coach Education"/>
    <n v="-35"/>
  </r>
  <r>
    <x v="1"/>
    <x v="13"/>
    <x v="7"/>
    <s v="St Felix School Swimming Club"/>
    <n v="1000"/>
    <m/>
    <x v="3"/>
    <s v="Coach Education"/>
    <n v="-1000"/>
  </r>
  <r>
    <x v="2"/>
    <x v="0"/>
    <x v="16"/>
    <s v="Gross interest on savings account"/>
    <m/>
    <n v="0.48"/>
    <x v="2"/>
    <s v="Interest"/>
    <n v="0.48"/>
  </r>
  <r>
    <x v="1"/>
    <x v="13"/>
    <x v="3"/>
    <s v="Geraldine Howard"/>
    <n v="250"/>
    <m/>
    <x v="3"/>
    <s v="Coach Education"/>
    <n v="-250"/>
  </r>
  <r>
    <x v="1"/>
    <x v="13"/>
    <x v="11"/>
    <s v="Geraldine Howard"/>
    <n v="52.55"/>
    <m/>
    <x v="3"/>
    <s v="Coach Education"/>
    <n v="-52.55"/>
  </r>
  <r>
    <x v="1"/>
    <x v="0"/>
    <x v="3"/>
    <s v="C M Williams"/>
    <n v="250"/>
    <m/>
    <x v="3"/>
    <s v="Coach Education"/>
    <n v="-250"/>
  </r>
  <r>
    <x v="1"/>
    <x v="0"/>
    <x v="3"/>
    <s v="A1 Health &amp; fitness ()"/>
    <n v="250"/>
    <m/>
    <x v="3"/>
    <s v="Coach Education"/>
    <n v="-250"/>
  </r>
  <r>
    <x v="2"/>
    <x v="0"/>
    <x v="15"/>
    <s v="Deposit on IRC kit"/>
    <n v="500"/>
    <m/>
    <x v="3"/>
    <s v="Inter-regional championships"/>
    <n v="-500"/>
  </r>
  <r>
    <x v="1"/>
    <x v="12"/>
    <x v="3"/>
    <s v="Jonathan Davies - RTO course expenses"/>
    <n v="49.2"/>
    <m/>
    <x v="3"/>
    <s v="Coach Education"/>
    <n v="-49.2"/>
  </r>
  <r>
    <x v="1"/>
    <x v="12"/>
    <x v="1"/>
    <s v="RTO Course"/>
    <m/>
    <n v="75"/>
    <x v="2"/>
    <s v="Coach Education"/>
    <n v="75"/>
  </r>
  <r>
    <x v="1"/>
    <x v="12"/>
    <x v="1"/>
    <s v="RTO Course"/>
    <m/>
    <n v="15"/>
    <x v="2"/>
    <s v="Coach Education"/>
    <n v="15"/>
  </r>
  <r>
    <x v="2"/>
    <x v="0"/>
    <x v="18"/>
    <s v="British Triathlon"/>
    <m/>
    <n v="2750"/>
    <x v="2"/>
    <s v="Coach Education"/>
    <n v="2750"/>
  </r>
  <r>
    <x v="1"/>
    <x v="5"/>
    <x v="3"/>
    <s v="Karl Grainger"/>
    <n v="759.75"/>
    <m/>
    <x v="3"/>
    <s v="Coach Education"/>
    <n v="-759.75"/>
  </r>
  <r>
    <x v="2"/>
    <x v="0"/>
    <x v="6"/>
    <s v="Richard Fuller (Trophies)"/>
    <n v="275"/>
    <m/>
    <x v="3"/>
    <s v="BTF Regional Grant"/>
    <n v="-275"/>
  </r>
  <r>
    <x v="1"/>
    <x v="0"/>
    <x v="3"/>
    <s v="Paradise Triathlon Training"/>
    <n v="250"/>
    <m/>
    <x v="3"/>
    <s v="Coach Education"/>
    <n v="-250"/>
  </r>
  <r>
    <x v="1"/>
    <x v="0"/>
    <x v="3"/>
    <s v="Bridgit Heath"/>
    <n v="500"/>
    <m/>
    <x v="3"/>
    <s v="Coach Education"/>
    <n v="-500"/>
  </r>
  <r>
    <x v="1"/>
    <x v="0"/>
    <x v="17"/>
    <s v="Abi Hutton (Lifeguarding"/>
    <n v="32.5"/>
    <m/>
    <x v="3"/>
    <s v="Coach Education"/>
    <n v="-32.5"/>
  </r>
  <r>
    <x v="2"/>
    <x v="0"/>
    <x v="1"/>
    <m/>
    <m/>
    <n v="183"/>
    <x v="2"/>
    <s v="Miscellaneous"/>
    <n v="183"/>
  </r>
  <r>
    <x v="1"/>
    <x v="5"/>
    <x v="1"/>
    <s v="British Triathlon"/>
    <m/>
    <n v="275"/>
    <x v="2"/>
    <s v="Coach Education"/>
    <n v="275"/>
  </r>
  <r>
    <x v="1"/>
    <x v="5"/>
    <x v="1"/>
    <s v="Coach Education"/>
    <m/>
    <n v="2062.5"/>
    <x v="2"/>
    <s v="Coach Education"/>
    <n v="2062.5"/>
  </r>
  <r>
    <x v="1"/>
    <x v="13"/>
    <x v="3"/>
    <s v="KAM Ltd (L2 Feb 12)"/>
    <n v="500"/>
    <m/>
    <x v="3"/>
    <s v="Coach Education"/>
    <n v="-500"/>
  </r>
  <r>
    <x v="1"/>
    <x v="5"/>
    <x v="3"/>
    <s v="Geraldine Howard (L1 May 12)"/>
    <n v="250"/>
    <m/>
    <x v="3"/>
    <s v="Coach Education"/>
    <n v="-250"/>
  </r>
  <r>
    <x v="1"/>
    <x v="13"/>
    <x v="3"/>
    <s v="A1 Health &amp; fitness (L2 Feb 12)"/>
    <n v="510"/>
    <m/>
    <x v="3"/>
    <s v="Coach Education"/>
    <n v="-510"/>
  </r>
  <r>
    <x v="1"/>
    <x v="0"/>
    <x v="10"/>
    <s v="British Triathlon"/>
    <n v="560"/>
    <m/>
    <x v="3"/>
    <s v="Coach Education"/>
    <n v="-560"/>
  </r>
  <r>
    <x v="1"/>
    <x v="0"/>
    <x v="3"/>
    <s v="R Lee (L1 Nov 11)"/>
    <n v="750"/>
    <m/>
    <x v="3"/>
    <s v="Coach Education"/>
    <n v="-750"/>
  </r>
  <r>
    <x v="1"/>
    <x v="0"/>
    <x v="3"/>
    <s v="V Ulfik (L2 Feb/Mar 12)"/>
    <n v="500"/>
    <m/>
    <x v="3"/>
    <s v="Coach Education"/>
    <n v="-500"/>
  </r>
  <r>
    <x v="1"/>
    <x v="13"/>
    <x v="1"/>
    <s v="British Triathlon"/>
    <m/>
    <n v="2475"/>
    <x v="2"/>
    <s v="Coach Education"/>
    <n v="2475"/>
  </r>
  <r>
    <x v="1"/>
    <x v="14"/>
    <x v="1"/>
    <s v="British Triathlon"/>
    <m/>
    <n v="90"/>
    <x v="2"/>
    <s v="Coach Education"/>
    <n v="90"/>
  </r>
  <r>
    <x v="2"/>
    <x v="0"/>
    <x v="6"/>
    <s v="NiceT"/>
    <m/>
    <n v="100"/>
    <x v="2"/>
    <s v="Annual Awards"/>
    <n v="100"/>
  </r>
  <r>
    <x v="1"/>
    <x v="13"/>
    <x v="3"/>
    <s v="Geraldine Howard (L2 Feb 12)"/>
    <n v="551.04999999999995"/>
    <m/>
    <x v="3"/>
    <s v="Coach Education"/>
    <n v="-551.04999999999995"/>
  </r>
  <r>
    <x v="1"/>
    <x v="13"/>
    <x v="3"/>
    <s v="S Edwards Coaching (L2 Mar 12)"/>
    <n v="500"/>
    <m/>
    <x v="3"/>
    <s v="Coach Education"/>
    <n v="-500"/>
  </r>
  <r>
    <x v="1"/>
    <x v="14"/>
    <x v="3"/>
    <s v="Jonathan Davies - LTO course expenses"/>
    <n v="40"/>
    <m/>
    <x v="3"/>
    <s v="Coach Education"/>
    <n v="-40"/>
  </r>
  <r>
    <x v="1"/>
    <x v="13"/>
    <x v="10"/>
    <s v="British Triathlon"/>
    <n v="640"/>
    <m/>
    <x v="3"/>
    <s v="Coach Education"/>
    <n v="-640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15">
  <r>
    <x v="0"/>
    <m/>
    <x v="0"/>
    <m/>
    <m/>
    <m/>
    <x v="0"/>
    <m/>
    <m/>
  </r>
  <r>
    <x v="0"/>
    <m/>
    <x v="0"/>
    <m/>
    <m/>
    <m/>
    <x v="1"/>
    <m/>
    <n v="0"/>
  </r>
  <r>
    <x v="0"/>
    <m/>
    <x v="0"/>
    <m/>
    <m/>
    <m/>
    <x v="0"/>
    <m/>
    <m/>
  </r>
  <r>
    <x v="1"/>
    <s v="E330"/>
    <x v="1"/>
    <s v="Coach Education"/>
    <m/>
    <n v="4125"/>
    <x v="2"/>
    <m/>
    <n v="4125"/>
  </r>
  <r>
    <x v="1"/>
    <m/>
    <x v="2"/>
    <s v="Heather Williams - Jan Swim camp"/>
    <n v="698.09"/>
    <m/>
    <x v="3"/>
    <s v="Coach Education"/>
    <n v="-698.09"/>
  </r>
  <r>
    <x v="1"/>
    <s v="L2 Cedars"/>
    <x v="3"/>
    <s v="Simon Edwards"/>
    <n v="250"/>
    <m/>
    <x v="3"/>
    <s v="Coach Education"/>
    <n v="-250"/>
  </r>
  <r>
    <x v="1"/>
    <s v="L2 Basildon"/>
    <x v="3"/>
    <s v="Simon Edwards"/>
    <n v="250"/>
    <m/>
    <x v="3"/>
    <s v="Coach Education"/>
    <n v="-250"/>
  </r>
  <r>
    <x v="1"/>
    <s v="L2 Basildon"/>
    <x v="3"/>
    <s v="Karl Grainger"/>
    <n v="250"/>
    <m/>
    <x v="3"/>
    <s v="Coach Education"/>
    <n v="-250"/>
  </r>
  <r>
    <x v="1"/>
    <s v="L1 Imp"/>
    <x v="3"/>
    <s v="C Short"/>
    <n v="250"/>
    <m/>
    <x v="3"/>
    <s v="Coach Education"/>
    <n v="-250"/>
  </r>
  <r>
    <x v="1"/>
    <s v="L1 Imp"/>
    <x v="3"/>
    <s v="C Short"/>
    <n v="500"/>
    <m/>
    <x v="3"/>
    <s v="Coach Education"/>
    <n v="-500"/>
  </r>
  <r>
    <x v="1"/>
    <s v="E323"/>
    <x v="4"/>
    <s v="Coachwise (5049358)"/>
    <n v="672"/>
    <m/>
    <x v="3"/>
    <s v="Coach Education"/>
    <n v="-672"/>
  </r>
  <r>
    <x v="2"/>
    <m/>
    <x v="0"/>
    <s v="Custom SCR - Eastern Region t-shirts"/>
    <n v="363.9"/>
    <m/>
    <x v="3"/>
    <s v="Miscellaneous"/>
    <n v="-363.9"/>
  </r>
  <r>
    <x v="2"/>
    <m/>
    <x v="5"/>
    <s v="SportsInstinct (RO t-shirts)"/>
    <n v="898.2"/>
    <m/>
    <x v="3"/>
    <s v="Officiating"/>
    <n v="-898.2"/>
  </r>
  <r>
    <x v="1"/>
    <s v="L2 Basildon"/>
    <x v="3"/>
    <s v="Simon Brierley"/>
    <n v="250"/>
    <m/>
    <x v="3"/>
    <s v="Coach Education"/>
    <n v="-250"/>
  </r>
  <r>
    <x v="1"/>
    <s v="L1 Cantab"/>
    <x v="3"/>
    <s v="Geraldine Howard"/>
    <n v="513.24"/>
    <m/>
    <x v="3"/>
    <s v="Coach Education"/>
    <n v="-513.24"/>
  </r>
  <r>
    <x v="1"/>
    <s v="L2 LB"/>
    <x v="3"/>
    <s v="Geraldine Howard"/>
    <n v="250"/>
    <m/>
    <x v="3"/>
    <s v="Coach Education"/>
    <n v="-250"/>
  </r>
  <r>
    <x v="1"/>
    <s v="L2 Cedars"/>
    <x v="3"/>
    <s v="Simom Edwards"/>
    <n v="250"/>
    <m/>
    <x v="3"/>
    <s v="Coach Education"/>
    <n v="-250"/>
  </r>
  <r>
    <x v="1"/>
    <m/>
    <x v="1"/>
    <s v="Coach Education"/>
    <m/>
    <n v="275"/>
    <x v="2"/>
    <s v="Coach Education"/>
    <n v="275"/>
  </r>
  <r>
    <x v="2"/>
    <m/>
    <x v="6"/>
    <s v="Elveden Farms"/>
    <m/>
    <n v="50"/>
    <x v="2"/>
    <s v="Annual Awards"/>
    <n v="50"/>
  </r>
  <r>
    <x v="1"/>
    <s v="E330"/>
    <x v="7"/>
    <s v="Uttlesford Leisure"/>
    <n v="700"/>
    <m/>
    <x v="3"/>
    <s v="Coach Education"/>
    <n v="-700"/>
  </r>
  <r>
    <x v="1"/>
    <s v="EM310"/>
    <x v="1"/>
    <s v="Coach Education"/>
    <m/>
    <n v="550"/>
    <x v="2"/>
    <s v="Coach Education"/>
    <n v="550"/>
  </r>
  <r>
    <x v="1"/>
    <s v="L1 Imp"/>
    <x v="1"/>
    <s v="British Triathlon - coaching bursary"/>
    <m/>
    <n v="825"/>
    <x v="2"/>
    <m/>
    <n v="825"/>
  </r>
  <r>
    <x v="1"/>
    <s v="EM310"/>
    <x v="4"/>
    <s v="Coachwise"/>
    <n v="672"/>
    <m/>
    <x v="3"/>
    <s v="Coach Education"/>
    <n v="-672"/>
  </r>
  <r>
    <x v="1"/>
    <s v="E325"/>
    <x v="3"/>
    <s v="V Ulfik (L2 Cedars)"/>
    <n v="1000"/>
    <m/>
    <x v="3"/>
    <s v="Coach Education"/>
    <n v="-1000"/>
  </r>
  <r>
    <x v="1"/>
    <s v="E326"/>
    <x v="3"/>
    <s v="Simon Brierley"/>
    <n v="250"/>
    <m/>
    <x v="3"/>
    <s v="Coach Education"/>
    <n v="-250"/>
  </r>
  <r>
    <x v="2"/>
    <m/>
    <x v="8"/>
    <s v="Blue Splat"/>
    <n v="2238"/>
    <m/>
    <x v="3"/>
    <m/>
    <n v="-2238"/>
  </r>
  <r>
    <x v="1"/>
    <s v="E326"/>
    <x v="3"/>
    <s v="Geraldine Howard"/>
    <n v="250"/>
    <m/>
    <x v="3"/>
    <s v="Coach Education"/>
    <n v="-250"/>
  </r>
  <r>
    <x v="1"/>
    <m/>
    <x v="1"/>
    <s v="Bank charge"/>
    <n v="4"/>
    <m/>
    <x v="3"/>
    <s v="Coach Education"/>
    <n v="-4"/>
  </r>
  <r>
    <x v="1"/>
    <m/>
    <x v="1"/>
    <s v="Unpaid cheque"/>
    <n v="275"/>
    <m/>
    <x v="3"/>
    <s v="Coach Education"/>
    <n v="-275"/>
  </r>
  <r>
    <x v="1"/>
    <s v="EM310"/>
    <x v="1"/>
    <s v="Coach Education (EM310)"/>
    <m/>
    <n v="1925"/>
    <x v="2"/>
    <s v="Coach Education"/>
    <n v="1925"/>
  </r>
  <r>
    <x v="0"/>
    <m/>
    <x v="0"/>
    <s v="British Triathlon"/>
    <m/>
    <n v="374"/>
    <x v="2"/>
    <m/>
    <n v="374"/>
  </r>
  <r>
    <x v="2"/>
    <m/>
    <x v="6"/>
    <s v="Nice Tri"/>
    <m/>
    <n v="120"/>
    <x v="2"/>
    <s v="Annual Awards"/>
    <n v="120"/>
  </r>
  <r>
    <x v="2"/>
    <m/>
    <x v="6"/>
    <s v="Tri-Anglia"/>
    <m/>
    <n v="100"/>
    <x v="2"/>
    <s v="Annual Awards"/>
    <n v="100"/>
  </r>
  <r>
    <x v="2"/>
    <m/>
    <x v="6"/>
    <s v="Monster Racing"/>
    <m/>
    <n v="50"/>
    <x v="2"/>
    <s v="Annual Awards"/>
    <n v="50"/>
  </r>
  <r>
    <x v="1"/>
    <s v="EM310"/>
    <x v="1"/>
    <s v="Coach Educationn (EM310)"/>
    <m/>
    <n v="825"/>
    <x v="2"/>
    <s v="Coach Education"/>
    <n v="825"/>
  </r>
  <r>
    <x v="1"/>
    <m/>
    <x v="3"/>
    <s v="Simon Edwards"/>
    <n v="500"/>
    <m/>
    <x v="3"/>
    <s v="Coach Education"/>
    <n v="-500"/>
  </r>
  <r>
    <x v="1"/>
    <m/>
    <x v="1"/>
    <s v="RPM??"/>
    <m/>
    <n v="500"/>
    <x v="2"/>
    <s v="Coach Education"/>
    <n v="500"/>
  </r>
  <r>
    <x v="0"/>
    <m/>
    <x v="5"/>
    <s v="British Triathlon"/>
    <m/>
    <n v="1500"/>
    <x v="2"/>
    <s v="Officiating"/>
    <n v="1500"/>
  </r>
  <r>
    <x v="1"/>
    <s v="E326"/>
    <x v="3"/>
    <s v="Karl Grainger"/>
    <n v="1000"/>
    <m/>
    <x v="3"/>
    <s v="Coach Education"/>
    <n v="-1000"/>
  </r>
  <r>
    <x v="1"/>
    <m/>
    <x v="9"/>
    <s v="Adrian Barbrooke"/>
    <n v="247.5"/>
    <m/>
    <x v="3"/>
    <s v="Coach Education"/>
    <n v="-247.5"/>
  </r>
  <r>
    <x v="2"/>
    <m/>
    <x v="7"/>
    <s v="Ashley Nicholson, February meeting venue"/>
    <n v="105.4"/>
    <m/>
    <x v="3"/>
    <s v="Governance"/>
    <n v="-105.4"/>
  </r>
  <r>
    <x v="1"/>
    <s v="E325"/>
    <x v="10"/>
    <s v="British Triathlon"/>
    <n v="420"/>
    <m/>
    <x v="3"/>
    <s v="Coach Education"/>
    <n v="-420"/>
  </r>
  <r>
    <x v="1"/>
    <s v="E324"/>
    <x v="10"/>
    <s v="British Triathlon"/>
    <n v="385"/>
    <m/>
    <x v="3"/>
    <s v="Coach Education"/>
    <n v="-385"/>
  </r>
  <r>
    <x v="1"/>
    <s v="E326"/>
    <x v="4"/>
    <s v="Coachwise"/>
    <n v="864"/>
    <m/>
    <x v="3"/>
    <s v="Coach Education"/>
    <n v="-864"/>
  </r>
  <r>
    <x v="1"/>
    <s v="E325"/>
    <x v="3"/>
    <s v="Ricky Lee (repayment?)"/>
    <m/>
    <n v="750"/>
    <x v="2"/>
    <s v="Coach Education"/>
    <n v="750"/>
  </r>
  <r>
    <x v="1"/>
    <s v="E325"/>
    <x v="3"/>
    <s v="Simon Edwards"/>
    <n v="500"/>
    <m/>
    <x v="3"/>
    <s v="Coach Education"/>
    <n v="500"/>
  </r>
  <r>
    <x v="1"/>
    <s v="E325"/>
    <x v="3"/>
    <s v="Simon Edwards"/>
    <n v="500"/>
    <m/>
    <x v="3"/>
    <s v="Coach Education"/>
    <n v="500"/>
  </r>
  <r>
    <x v="1"/>
    <s v="E326"/>
    <x v="11"/>
    <s v="Paul Moss"/>
    <n v="24"/>
    <m/>
    <x v="3"/>
    <s v="Coach Education"/>
    <n v="24"/>
  </r>
  <r>
    <x v="1"/>
    <s v="E325"/>
    <x v="3"/>
    <s v="Ricky Lee"/>
    <n v="750"/>
    <m/>
    <x v="3"/>
    <s v="Coach Education"/>
    <n v="750"/>
  </r>
  <r>
    <x v="1"/>
    <s v="E324"/>
    <x v="7"/>
    <s v="Cedars Upper School"/>
    <n v="450"/>
    <m/>
    <x v="3"/>
    <s v="Coach Education"/>
    <n v="450"/>
  </r>
  <r>
    <x v="1"/>
    <s v="E326"/>
    <x v="3"/>
    <s v="Simon Edwards"/>
    <n v="500"/>
    <m/>
    <x v="3"/>
    <s v="Coach Education"/>
    <n v="-500"/>
  </r>
  <r>
    <x v="1"/>
    <m/>
    <x v="9"/>
    <s v="???"/>
    <n v="495"/>
    <m/>
    <x v="3"/>
    <s v="Coach Education"/>
    <n v="-495"/>
  </r>
  <r>
    <x v="1"/>
    <s v="E326"/>
    <x v="1"/>
    <s v="Coach Education (E326, Nov, Basildon)"/>
    <m/>
    <n v="6190"/>
    <x v="2"/>
    <s v="Coach Education"/>
    <n v="6190"/>
  </r>
  <r>
    <x v="1"/>
    <s v="E324"/>
    <x v="3"/>
    <s v="Paula Dewar"/>
    <n v="750"/>
    <m/>
    <x v="3"/>
    <s v="Coach Education"/>
    <n v="-750"/>
  </r>
  <r>
    <x v="2"/>
    <m/>
    <x v="12"/>
    <s v="Richard Fuller"/>
    <n v="218"/>
    <m/>
    <x v="3"/>
    <s v="AGM"/>
    <n v="-218"/>
  </r>
  <r>
    <x v="2"/>
    <m/>
    <x v="6"/>
    <s v="Richard Fuller"/>
    <n v="683.9"/>
    <m/>
    <x v="3"/>
    <s v="Annual Awards"/>
    <n v="-683.9"/>
  </r>
  <r>
    <x v="2"/>
    <m/>
    <x v="13"/>
    <s v="Richard Fuller"/>
    <n v="51.09"/>
    <m/>
    <x v="3"/>
    <s v="Regional Website"/>
    <n v="-51.09"/>
  </r>
  <r>
    <x v="3"/>
    <m/>
    <x v="2"/>
    <s v="Tim Williams"/>
    <n v="1400"/>
    <m/>
    <x v="3"/>
    <s v="Academy"/>
    <n v="-1400"/>
  </r>
  <r>
    <x v="3"/>
    <m/>
    <x v="7"/>
    <s v="Tim Williams"/>
    <n v="20"/>
    <m/>
    <x v="3"/>
    <s v="Academy"/>
    <n v="-20"/>
  </r>
  <r>
    <x v="3"/>
    <m/>
    <x v="14"/>
    <s v="Tim Williams"/>
    <n v="102.5"/>
    <m/>
    <x v="3"/>
    <s v="Academy"/>
    <n v="-102.5"/>
  </r>
  <r>
    <x v="3"/>
    <m/>
    <x v="7"/>
    <s v="Tim Williams"/>
    <n v="217.5"/>
    <m/>
    <x v="3"/>
    <s v="Academy"/>
    <n v="-217.5"/>
  </r>
  <r>
    <x v="2"/>
    <m/>
    <x v="15"/>
    <s v="Tim Williams (IRC kit)"/>
    <n v="198.25"/>
    <m/>
    <x v="3"/>
    <s v="Inter-regional championships"/>
    <n v="-198.25"/>
  </r>
  <r>
    <x v="3"/>
    <m/>
    <x v="14"/>
    <s v="Tim Williams"/>
    <n v="163"/>
    <m/>
    <x v="3"/>
    <s v="Academy"/>
    <n v="-163"/>
  </r>
  <r>
    <x v="2"/>
    <m/>
    <x v="16"/>
    <s v="Gross interest on savings account"/>
    <m/>
    <n v="1.44"/>
    <x v="2"/>
    <s v="Interest"/>
    <n v="1.44"/>
  </r>
  <r>
    <x v="1"/>
    <m/>
    <x v="17"/>
    <s v="HSBC - Bank charge"/>
    <n v="4"/>
    <m/>
    <x v="3"/>
    <s v="Coach Education"/>
    <n v="-4"/>
  </r>
  <r>
    <x v="1"/>
    <s v="E325"/>
    <x v="4"/>
    <s v="Coachwise"/>
    <n v="702"/>
    <m/>
    <x v="3"/>
    <s v="Coach Education"/>
    <n v="-702"/>
  </r>
  <r>
    <x v="1"/>
    <m/>
    <x v="1"/>
    <s v="Coach Education"/>
    <m/>
    <n v="4207.5"/>
    <x v="2"/>
    <s v="Coach Education"/>
    <n v="4207.5"/>
  </r>
  <r>
    <x v="1"/>
    <s v="E324"/>
    <x v="4"/>
    <s v="Coachwise"/>
    <n v="768"/>
    <m/>
    <x v="3"/>
    <s v="Coach Education"/>
    <n v="-768"/>
  </r>
  <r>
    <x v="3"/>
    <m/>
    <x v="18"/>
    <s v="British Triathlon"/>
    <m/>
    <n v="1500"/>
    <x v="2"/>
    <s v="Academy"/>
    <n v="1500"/>
  </r>
  <r>
    <x v="1"/>
    <s v="E326"/>
    <x v="1"/>
    <s v="CAF Funding (x3)"/>
    <m/>
    <n v="740"/>
    <x v="2"/>
    <s v="Coach Education"/>
    <n v="740"/>
  </r>
  <r>
    <x v="1"/>
    <m/>
    <x v="1"/>
    <s v="Coach Education"/>
    <m/>
    <n v="275"/>
    <x v="2"/>
    <s v="Coach Education"/>
    <n v="275"/>
  </r>
  <r>
    <x v="1"/>
    <m/>
    <x v="1"/>
    <s v="Coach Education"/>
    <m/>
    <n v="45"/>
    <x v="2"/>
    <s v="Coach Education"/>
    <n v="45"/>
  </r>
  <r>
    <x v="1"/>
    <m/>
    <x v="19"/>
    <s v="BTF Admin Fees"/>
    <n v="9.0500000000000007"/>
    <m/>
    <x v="3"/>
    <s v="Coach Education"/>
    <n v="-9.0500000000000007"/>
  </r>
  <r>
    <x v="1"/>
    <s v="E324"/>
    <x v="1"/>
    <s v="Coach Education"/>
    <m/>
    <n v="2475"/>
    <x v="2"/>
    <s v="Coach Education"/>
    <n v="2475"/>
  </r>
  <r>
    <x v="2"/>
    <m/>
    <x v="16"/>
    <s v="Gross interest on savings account"/>
    <m/>
    <n v="1.49"/>
    <x v="2"/>
    <s v="Interest"/>
    <n v="1.49"/>
  </r>
  <r>
    <x v="1"/>
    <s v="E325"/>
    <x v="1"/>
    <s v="Leighton Buzzard Tri"/>
    <m/>
    <n v="495"/>
    <x v="2"/>
    <s v="Coach Education"/>
    <n v="495"/>
  </r>
  <r>
    <x v="1"/>
    <s v="E324"/>
    <x v="1"/>
    <s v="Leighton Buzzard Tri"/>
    <m/>
    <n v="550"/>
    <x v="2"/>
    <s v="Coach Education"/>
    <n v="550"/>
  </r>
  <r>
    <x v="2"/>
    <m/>
    <x v="15"/>
    <s v="Impsport - balance on IRC kit"/>
    <n v="487.5"/>
    <m/>
    <x v="3"/>
    <s v="Inter-regional championships"/>
    <n v="-487.5"/>
  </r>
  <r>
    <x v="1"/>
    <s v="RTO"/>
    <x v="7"/>
    <s v="Hemel Hempstead Cycle Club"/>
    <n v="35"/>
    <m/>
    <x v="3"/>
    <s v="Coach Education"/>
    <n v="-35"/>
  </r>
  <r>
    <x v="1"/>
    <s v="E316"/>
    <x v="7"/>
    <s v="St Felix School Swimming Club"/>
    <n v="1000"/>
    <m/>
    <x v="3"/>
    <s v="Coach Education"/>
    <n v="-1000"/>
  </r>
  <r>
    <x v="2"/>
    <m/>
    <x v="16"/>
    <s v="Gross interest on savings account"/>
    <m/>
    <n v="0.48"/>
    <x v="2"/>
    <s v="Interest"/>
    <n v="0.48"/>
  </r>
  <r>
    <x v="1"/>
    <s v="E316"/>
    <x v="3"/>
    <s v="Geraldine Howard"/>
    <n v="250"/>
    <m/>
    <x v="3"/>
    <s v="Coach Education"/>
    <n v="-250"/>
  </r>
  <r>
    <x v="1"/>
    <s v="E316"/>
    <x v="11"/>
    <s v="Geraldine Howard"/>
    <n v="52.55"/>
    <m/>
    <x v="3"/>
    <s v="Coach Education"/>
    <n v="-52.55"/>
  </r>
  <r>
    <x v="1"/>
    <m/>
    <x v="3"/>
    <s v="C M Williams"/>
    <n v="250"/>
    <m/>
    <x v="3"/>
    <s v="Coach Education"/>
    <n v="-250"/>
  </r>
  <r>
    <x v="1"/>
    <m/>
    <x v="3"/>
    <s v="A1 Health &amp; fitness ()"/>
    <n v="250"/>
    <m/>
    <x v="3"/>
    <s v="Coach Education"/>
    <n v="-250"/>
  </r>
  <r>
    <x v="2"/>
    <m/>
    <x v="15"/>
    <s v="Deposit on IRC kit"/>
    <n v="500"/>
    <m/>
    <x v="3"/>
    <s v="Inter-regional championships"/>
    <n v="-500"/>
  </r>
  <r>
    <x v="1"/>
    <s v="RTO"/>
    <x v="3"/>
    <s v="Jonathan Davies - RTO course expenses"/>
    <n v="49.2"/>
    <m/>
    <x v="3"/>
    <s v="Coach Education"/>
    <n v="-49.2"/>
  </r>
  <r>
    <x v="1"/>
    <s v="RTO"/>
    <x v="1"/>
    <s v="RTO Course"/>
    <m/>
    <n v="75"/>
    <x v="2"/>
    <s v="Coach Education"/>
    <n v="75"/>
  </r>
  <r>
    <x v="1"/>
    <s v="RTO"/>
    <x v="1"/>
    <s v="RTO Course"/>
    <m/>
    <n v="15"/>
    <x v="2"/>
    <s v="Coach Education"/>
    <n v="15"/>
  </r>
  <r>
    <x v="2"/>
    <m/>
    <x v="18"/>
    <s v="British Triathlon"/>
    <m/>
    <n v="2750"/>
    <x v="2"/>
    <s v="Coach Education"/>
    <n v="2750"/>
  </r>
  <r>
    <x v="1"/>
    <s v="E323"/>
    <x v="3"/>
    <s v="Karl Grainger"/>
    <n v="759.75"/>
    <m/>
    <x v="3"/>
    <s v="Coach Education"/>
    <n v="-759.75"/>
  </r>
  <r>
    <x v="2"/>
    <m/>
    <x v="6"/>
    <s v="Richard Fuller (Trophies)"/>
    <n v="275"/>
    <m/>
    <x v="3"/>
    <s v="BTF Regional Grant"/>
    <n v="-275"/>
  </r>
  <r>
    <x v="1"/>
    <m/>
    <x v="3"/>
    <s v="Paradise Triathlon Training"/>
    <n v="250"/>
    <m/>
    <x v="3"/>
    <s v="Coach Education"/>
    <n v="-250"/>
  </r>
  <r>
    <x v="1"/>
    <m/>
    <x v="3"/>
    <s v="Bridgit Heath"/>
    <n v="500"/>
    <m/>
    <x v="3"/>
    <s v="Coach Education"/>
    <n v="-500"/>
  </r>
  <r>
    <x v="1"/>
    <m/>
    <x v="17"/>
    <s v="Abi Hutton (Lifeguarding"/>
    <n v="32.5"/>
    <m/>
    <x v="3"/>
    <s v="Coach Education"/>
    <n v="-32.5"/>
  </r>
  <r>
    <x v="2"/>
    <m/>
    <x v="1"/>
    <m/>
    <m/>
    <n v="183"/>
    <x v="2"/>
    <s v="Miscellaneous"/>
    <n v="183"/>
  </r>
  <r>
    <x v="1"/>
    <s v="E323"/>
    <x v="1"/>
    <s v="British Triathlon"/>
    <m/>
    <n v="275"/>
    <x v="2"/>
    <s v="Coach Education"/>
    <n v="275"/>
  </r>
  <r>
    <x v="1"/>
    <s v="E323"/>
    <x v="1"/>
    <s v="Coach Education"/>
    <m/>
    <n v="2062.5"/>
    <x v="2"/>
    <s v="Coach Education"/>
    <n v="2062.5"/>
  </r>
  <r>
    <x v="1"/>
    <s v="E316"/>
    <x v="3"/>
    <s v="KAM Ltd (L2 Feb 12)"/>
    <n v="500"/>
    <m/>
    <x v="3"/>
    <s v="Coach Education"/>
    <n v="-500"/>
  </r>
  <r>
    <x v="1"/>
    <s v="E323"/>
    <x v="3"/>
    <s v="Geraldine Howard (L1 May 12)"/>
    <n v="250"/>
    <m/>
    <x v="3"/>
    <s v="Coach Education"/>
    <n v="-250"/>
  </r>
  <r>
    <x v="1"/>
    <s v="E316"/>
    <x v="3"/>
    <s v="A1 Health &amp; fitness (L2 Feb 12)"/>
    <n v="510"/>
    <m/>
    <x v="3"/>
    <s v="Coach Education"/>
    <n v="-510"/>
  </r>
  <r>
    <x v="1"/>
    <m/>
    <x v="10"/>
    <s v="British Triathlon"/>
    <n v="560"/>
    <m/>
    <x v="3"/>
    <s v="Coach Education"/>
    <n v="-560"/>
  </r>
  <r>
    <x v="1"/>
    <m/>
    <x v="3"/>
    <s v="R Lee (L1 Nov 11)"/>
    <n v="750"/>
    <m/>
    <x v="3"/>
    <s v="Coach Education"/>
    <n v="-750"/>
  </r>
  <r>
    <x v="1"/>
    <m/>
    <x v="3"/>
    <s v="V Ulfik (L2 Feb/Mar 12)"/>
    <n v="500"/>
    <m/>
    <x v="3"/>
    <s v="Coach Education"/>
    <n v="-500"/>
  </r>
  <r>
    <x v="1"/>
    <s v="E316"/>
    <x v="1"/>
    <s v="British Triathlon"/>
    <m/>
    <n v="2475"/>
    <x v="2"/>
    <s v="Coach Education"/>
    <n v="2475"/>
  </r>
  <r>
    <x v="1"/>
    <s v="LTO"/>
    <x v="1"/>
    <s v="British Triathlon"/>
    <m/>
    <n v="90"/>
    <x v="2"/>
    <s v="Coach Education"/>
    <n v="90"/>
  </r>
  <r>
    <x v="2"/>
    <m/>
    <x v="6"/>
    <s v="NiceT"/>
    <m/>
    <n v="100"/>
    <x v="2"/>
    <s v="Annual Awards"/>
    <n v="100"/>
  </r>
  <r>
    <x v="1"/>
    <s v="E316"/>
    <x v="3"/>
    <s v="Geraldine Howard (L2 Feb 12)"/>
    <n v="551.04999999999995"/>
    <m/>
    <x v="3"/>
    <s v="Coach Education"/>
    <n v="-551.04999999999995"/>
  </r>
  <r>
    <x v="1"/>
    <s v="E316"/>
    <x v="3"/>
    <s v="S Edwards Coaching (L2 Mar 12)"/>
    <n v="500"/>
    <m/>
    <x v="3"/>
    <s v="Coach Education"/>
    <n v="-500"/>
  </r>
  <r>
    <x v="1"/>
    <s v="LTO"/>
    <x v="3"/>
    <s v="Jonathan Davies - LTO course expenses"/>
    <n v="40"/>
    <m/>
    <x v="3"/>
    <s v="Coach Education"/>
    <n v="-40"/>
  </r>
  <r>
    <x v="1"/>
    <s v="E316"/>
    <x v="10"/>
    <s v="British Triathlon"/>
    <n v="640"/>
    <m/>
    <x v="3"/>
    <s v="Coach Education"/>
    <n v="-640"/>
  </r>
  <r>
    <x v="2"/>
    <m/>
    <x v="6"/>
    <s v="Dunmow Tri"/>
    <m/>
    <n v="50"/>
    <x v="2"/>
    <s v="Annual Awards"/>
    <n v="50"/>
  </r>
  <r>
    <x v="2"/>
    <m/>
    <x v="6"/>
    <s v="Fambridge League"/>
    <m/>
    <n v="50"/>
    <x v="2"/>
    <s v="Annual Awards"/>
    <n v="50"/>
  </r>
  <r>
    <x v="2"/>
    <m/>
    <x v="6"/>
    <s v="Monster Racing"/>
    <m/>
    <n v="50"/>
    <x v="2"/>
    <s v="Annual Awards"/>
    <n v="50"/>
  </r>
  <r>
    <x v="2"/>
    <m/>
    <x v="6"/>
    <s v="Deposit"/>
    <m/>
    <n v="50"/>
    <x v="2"/>
    <s v="Annual Awards"/>
    <n v="50"/>
  </r>
</pivotCacheRecords>
</file>

<file path=xl/pivotCache/pivotCacheRecords3.xml><?xml version="1.0" encoding="utf-8"?>
<pivotCacheRecords xmlns="http://schemas.openxmlformats.org/spreadsheetml/2006/main" xmlns:r="http://schemas.openxmlformats.org/officeDocument/2006/relationships" count="115">
  <r>
    <m/>
    <m/>
    <m/>
    <m/>
    <m/>
    <m/>
    <m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m/>
    <m/>
    <m/>
    <m/>
    <m/>
    <m/>
    <m/>
    <m/>
    <m/>
    <m/>
    <x v="1"/>
    <x v="0"/>
    <n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0"/>
  </r>
  <r>
    <m/>
    <m/>
    <m/>
    <m/>
    <m/>
    <m/>
    <m/>
    <m/>
    <m/>
    <m/>
    <x v="0"/>
    <x v="0"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  <m/>
  </r>
  <r>
    <d v="2013-03-27T00:00:00"/>
    <s v="Deposit"/>
    <m/>
    <m/>
    <s v="Coach Education"/>
    <s v="E330"/>
    <s v="Income"/>
    <s v="Coach Education"/>
    <m/>
    <n v="4125"/>
    <x v="2"/>
    <x v="0"/>
    <n v="4125"/>
    <m/>
    <n v="412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4125"/>
  </r>
  <r>
    <d v="2013-03-25T00:00:00"/>
    <s v="Online"/>
    <s v="Y"/>
    <s v="0274"/>
    <s v="Coach Education"/>
    <m/>
    <s v="Training Camp"/>
    <s v="Heather Williams - Jan Swim camp"/>
    <n v="698.09"/>
    <m/>
    <x v="3"/>
    <x v="1"/>
    <n v="-698.09"/>
    <m/>
    <m/>
    <m/>
    <m/>
    <m/>
    <m/>
    <n v="698.09"/>
    <m/>
    <m/>
    <m/>
    <m/>
    <m/>
    <m/>
    <m/>
    <m/>
    <m/>
    <m/>
    <m/>
    <m/>
    <m/>
    <m/>
    <m/>
    <m/>
    <m/>
    <m/>
    <m/>
    <m/>
    <m/>
    <m/>
    <m/>
    <n v="698.09"/>
    <n v="0"/>
  </r>
  <r>
    <d v="2013-03-25T00:00:00"/>
    <s v="Online"/>
    <s v="Y"/>
    <s v="0273"/>
    <s v="Coach Education"/>
    <s v="L2 Cedars"/>
    <s v="Coaches"/>
    <s v="Simon Edwards"/>
    <n v="250"/>
    <m/>
    <x v="3"/>
    <x v="1"/>
    <n v="-250"/>
    <m/>
    <m/>
    <m/>
    <m/>
    <m/>
    <m/>
    <n v="250"/>
    <m/>
    <m/>
    <m/>
    <m/>
    <m/>
    <m/>
    <m/>
    <m/>
    <m/>
    <m/>
    <m/>
    <m/>
    <m/>
    <m/>
    <m/>
    <m/>
    <m/>
    <m/>
    <m/>
    <m/>
    <m/>
    <m/>
    <m/>
    <n v="250"/>
    <n v="0"/>
  </r>
  <r>
    <d v="2013-03-25T00:00:00"/>
    <s v="Online"/>
    <s v="Y"/>
    <s v="0273"/>
    <s v="Coach Education"/>
    <s v="L2 Basildon"/>
    <s v="Coaches"/>
    <s v="Simon Edwards"/>
    <n v="250"/>
    <m/>
    <x v="3"/>
    <x v="1"/>
    <n v="-250"/>
    <m/>
    <m/>
    <m/>
    <m/>
    <m/>
    <m/>
    <n v="250"/>
    <m/>
    <m/>
    <m/>
    <m/>
    <m/>
    <m/>
    <m/>
    <m/>
    <m/>
    <m/>
    <m/>
    <m/>
    <m/>
    <m/>
    <m/>
    <m/>
    <m/>
    <m/>
    <m/>
    <m/>
    <m/>
    <m/>
    <m/>
    <n v="250"/>
    <n v="0"/>
  </r>
  <r>
    <d v="2013-03-24T00:00:00"/>
    <s v="Online"/>
    <s v="Y"/>
    <s v="0272"/>
    <s v="Coach Education"/>
    <s v="L2 Basildon"/>
    <s v="Coaches"/>
    <s v="Karl Grainger"/>
    <n v="250"/>
    <m/>
    <x v="3"/>
    <x v="1"/>
    <n v="-250"/>
    <m/>
    <m/>
    <m/>
    <m/>
    <m/>
    <m/>
    <n v="250"/>
    <m/>
    <m/>
    <m/>
    <m/>
    <m/>
    <m/>
    <m/>
    <m/>
    <m/>
    <m/>
    <m/>
    <m/>
    <m/>
    <m/>
    <m/>
    <m/>
    <m/>
    <m/>
    <m/>
    <m/>
    <m/>
    <m/>
    <m/>
    <n v="250"/>
    <n v="0"/>
  </r>
  <r>
    <d v="2013-03-24T00:00:00"/>
    <s v="Online"/>
    <s v="Y"/>
    <s v="0271"/>
    <s v="Coach Education"/>
    <s v="L1 Imp"/>
    <s v="Coaches"/>
    <s v="C Short"/>
    <n v="250"/>
    <m/>
    <x v="3"/>
    <x v="1"/>
    <n v="-250"/>
    <m/>
    <m/>
    <m/>
    <m/>
    <m/>
    <m/>
    <n v="250"/>
    <m/>
    <m/>
    <m/>
    <m/>
    <m/>
    <m/>
    <m/>
    <m/>
    <m/>
    <m/>
    <m/>
    <m/>
    <m/>
    <m/>
    <m/>
    <m/>
    <m/>
    <m/>
    <m/>
    <m/>
    <m/>
    <m/>
    <m/>
    <n v="250"/>
    <n v="0"/>
  </r>
  <r>
    <d v="2013-03-24T00:00:00"/>
    <s v="Online"/>
    <s v="Y"/>
    <s v="0270"/>
    <s v="Coach Education"/>
    <s v="L1 Imp"/>
    <s v="Coaches"/>
    <s v="C Short"/>
    <n v="500"/>
    <m/>
    <x v="3"/>
    <x v="1"/>
    <n v="-500"/>
    <m/>
    <m/>
    <m/>
    <m/>
    <m/>
    <m/>
    <n v="500"/>
    <m/>
    <m/>
    <m/>
    <m/>
    <m/>
    <m/>
    <m/>
    <m/>
    <m/>
    <m/>
    <m/>
    <m/>
    <m/>
    <m/>
    <m/>
    <m/>
    <m/>
    <m/>
    <m/>
    <m/>
    <m/>
    <m/>
    <m/>
    <n v="500"/>
    <n v="0"/>
  </r>
  <r>
    <d v="2013-03-23T00:00:00"/>
    <s v="Online"/>
    <s v="Y"/>
    <s v="0268"/>
    <s v="Coach Education"/>
    <s v="E323"/>
    <s v="Training manuals"/>
    <s v="Coachwise (5049358)"/>
    <n v="672"/>
    <m/>
    <x v="3"/>
    <x v="1"/>
    <n v="-672"/>
    <m/>
    <m/>
    <m/>
    <m/>
    <m/>
    <m/>
    <n v="672"/>
    <m/>
    <m/>
    <m/>
    <m/>
    <m/>
    <m/>
    <m/>
    <m/>
    <m/>
    <m/>
    <m/>
    <m/>
    <m/>
    <m/>
    <m/>
    <m/>
    <m/>
    <m/>
    <m/>
    <m/>
    <m/>
    <m/>
    <m/>
    <n v="672"/>
    <n v="0"/>
  </r>
  <r>
    <d v="2013-03-23T00:00:00"/>
    <s v="Online"/>
    <s v="Y"/>
    <s v="0267"/>
    <s v="Regional activity"/>
    <m/>
    <m/>
    <s v="Custom SCR - Eastern Region t-shirts"/>
    <n v="363.9"/>
    <m/>
    <x v="3"/>
    <x v="2"/>
    <n v="-363.9"/>
    <n v="363.9"/>
    <m/>
    <m/>
    <m/>
    <m/>
    <m/>
    <m/>
    <m/>
    <m/>
    <m/>
    <m/>
    <m/>
    <m/>
    <m/>
    <m/>
    <m/>
    <m/>
    <m/>
    <m/>
    <m/>
    <m/>
    <m/>
    <m/>
    <m/>
    <m/>
    <m/>
    <m/>
    <m/>
    <m/>
    <m/>
    <n v="363.9"/>
    <n v="0"/>
  </r>
  <r>
    <d v="2013-03-09T00:00:00"/>
    <s v="Online"/>
    <s v="Y"/>
    <s v="0265"/>
    <s v="Regional activity"/>
    <m/>
    <s v="Officiating"/>
    <s v="SportsInstinct (RO t-shirts)"/>
    <n v="898.2"/>
    <m/>
    <x v="3"/>
    <x v="3"/>
    <n v="-898.2"/>
    <m/>
    <m/>
    <m/>
    <m/>
    <m/>
    <m/>
    <m/>
    <m/>
    <m/>
    <m/>
    <m/>
    <m/>
    <m/>
    <m/>
    <m/>
    <m/>
    <m/>
    <m/>
    <m/>
    <m/>
    <m/>
    <m/>
    <m/>
    <m/>
    <m/>
    <m/>
    <n v="898.2"/>
    <m/>
    <m/>
    <m/>
    <n v="898.2"/>
    <n v="0"/>
  </r>
  <r>
    <d v="2013-03-08T00:00:00"/>
    <s v="Online"/>
    <s v="Y"/>
    <s v="0264"/>
    <s v="Coach Education"/>
    <s v="L2 Basildon"/>
    <s v="Coaches"/>
    <s v="Simon Brierley"/>
    <n v="250"/>
    <m/>
    <x v="3"/>
    <x v="1"/>
    <n v="-250"/>
    <m/>
    <m/>
    <m/>
    <m/>
    <m/>
    <m/>
    <n v="250"/>
    <m/>
    <m/>
    <m/>
    <m/>
    <m/>
    <m/>
    <m/>
    <m/>
    <m/>
    <m/>
    <m/>
    <m/>
    <m/>
    <m/>
    <m/>
    <m/>
    <m/>
    <m/>
    <m/>
    <m/>
    <m/>
    <m/>
    <m/>
    <n v="250"/>
    <n v="0"/>
  </r>
  <r>
    <d v="2013-03-07T00:00:00"/>
    <s v="Online"/>
    <s v="Y"/>
    <s v="0263"/>
    <s v="Coach Education"/>
    <s v="L1 Cantab"/>
    <s v="Coaches"/>
    <s v="Geraldine Howard"/>
    <n v="513.24"/>
    <m/>
    <x v="3"/>
    <x v="1"/>
    <n v="-513.24"/>
    <m/>
    <m/>
    <m/>
    <m/>
    <m/>
    <m/>
    <n v="513.24"/>
    <m/>
    <m/>
    <m/>
    <m/>
    <m/>
    <m/>
    <m/>
    <m/>
    <m/>
    <m/>
    <m/>
    <m/>
    <m/>
    <m/>
    <m/>
    <m/>
    <m/>
    <m/>
    <m/>
    <m/>
    <m/>
    <m/>
    <m/>
    <n v="513.24"/>
    <n v="0"/>
  </r>
  <r>
    <d v="2013-03-07T00:00:00"/>
    <s v="Online"/>
    <s v="Y"/>
    <s v="0262"/>
    <s v="Coach Education"/>
    <s v="L2 LB"/>
    <s v="Coaches"/>
    <s v="Geraldine Howard"/>
    <n v="250"/>
    <m/>
    <x v="3"/>
    <x v="1"/>
    <n v="-250"/>
    <m/>
    <m/>
    <m/>
    <m/>
    <m/>
    <m/>
    <n v="250"/>
    <m/>
    <m/>
    <m/>
    <m/>
    <m/>
    <m/>
    <m/>
    <m/>
    <m/>
    <m/>
    <m/>
    <m/>
    <m/>
    <m/>
    <m/>
    <m/>
    <m/>
    <m/>
    <m/>
    <m/>
    <m/>
    <m/>
    <m/>
    <n v="250"/>
    <n v="0"/>
  </r>
  <r>
    <d v="2013-03-07T00:00:00"/>
    <s v="Online"/>
    <s v="Y"/>
    <s v="0275"/>
    <s v="Coach Education"/>
    <s v="L2 Cedars"/>
    <s v="Coaches"/>
    <s v="Simom Edwards"/>
    <n v="250"/>
    <m/>
    <x v="3"/>
    <x v="1"/>
    <n v="-250"/>
    <m/>
    <m/>
    <m/>
    <m/>
    <m/>
    <m/>
    <n v="250"/>
    <m/>
    <m/>
    <m/>
    <m/>
    <m/>
    <m/>
    <m/>
    <m/>
    <m/>
    <m/>
    <m/>
    <m/>
    <m/>
    <m/>
    <m/>
    <m/>
    <m/>
    <m/>
    <m/>
    <m/>
    <m/>
    <m/>
    <m/>
    <n v="250"/>
    <n v="0"/>
  </r>
  <r>
    <d v="2013-03-07T00:00:00"/>
    <s v="Deposit"/>
    <m/>
    <m/>
    <s v="Coach Education"/>
    <m/>
    <s v="Income"/>
    <s v="Coach Education"/>
    <m/>
    <n v="275"/>
    <x v="2"/>
    <x v="1"/>
    <n v="275"/>
    <m/>
    <m/>
    <m/>
    <m/>
    <m/>
    <m/>
    <m/>
    <n v="275"/>
    <m/>
    <m/>
    <m/>
    <m/>
    <m/>
    <m/>
    <m/>
    <m/>
    <m/>
    <m/>
    <m/>
    <m/>
    <m/>
    <m/>
    <m/>
    <m/>
    <m/>
    <m/>
    <m/>
    <m/>
    <m/>
    <m/>
    <n v="0"/>
    <n v="275"/>
  </r>
  <r>
    <d v="2013-02-28T00:00:00"/>
    <s v="Deposit"/>
    <m/>
    <m/>
    <s v="Regional activity"/>
    <m/>
    <s v="Annual awards"/>
    <s v="Elveden Farms"/>
    <m/>
    <n v="50"/>
    <x v="2"/>
    <x v="4"/>
    <n v="50"/>
    <m/>
    <m/>
    <m/>
    <m/>
    <m/>
    <m/>
    <m/>
    <m/>
    <m/>
    <m/>
    <m/>
    <m/>
    <m/>
    <m/>
    <m/>
    <m/>
    <m/>
    <m/>
    <m/>
    <m/>
    <m/>
    <m/>
    <m/>
    <m/>
    <m/>
    <m/>
    <m/>
    <m/>
    <m/>
    <n v="50"/>
    <n v="0"/>
    <n v="50"/>
  </r>
  <r>
    <d v="2013-02-15T00:00:00"/>
    <n v="100151"/>
    <s v="Y"/>
    <s v="0266"/>
    <s v="Coach Education"/>
    <s v="E330"/>
    <s v="Venues"/>
    <s v="Uttlesford Leisure"/>
    <n v="700"/>
    <m/>
    <x v="3"/>
    <x v="1"/>
    <n v="-700"/>
    <m/>
    <m/>
    <m/>
    <m/>
    <m/>
    <m/>
    <n v="700"/>
    <m/>
    <m/>
    <m/>
    <m/>
    <m/>
    <m/>
    <m/>
    <m/>
    <m/>
    <m/>
    <m/>
    <m/>
    <m/>
    <m/>
    <m/>
    <m/>
    <m/>
    <m/>
    <m/>
    <m/>
    <m/>
    <m/>
    <m/>
    <n v="700"/>
    <n v="0"/>
  </r>
  <r>
    <d v="2013-02-14T00:00:00"/>
    <s v="Deposit"/>
    <m/>
    <m/>
    <s v="Coach Education"/>
    <s v="EM310"/>
    <s v="Income"/>
    <s v="Coach Education"/>
    <m/>
    <n v="550"/>
    <x v="2"/>
    <x v="1"/>
    <n v="550"/>
    <m/>
    <m/>
    <m/>
    <m/>
    <m/>
    <m/>
    <m/>
    <n v="550"/>
    <m/>
    <m/>
    <m/>
    <m/>
    <m/>
    <m/>
    <m/>
    <m/>
    <m/>
    <m/>
    <m/>
    <m/>
    <m/>
    <m/>
    <m/>
    <m/>
    <m/>
    <m/>
    <m/>
    <m/>
    <m/>
    <m/>
    <n v="0"/>
    <n v="550"/>
  </r>
  <r>
    <d v="2013-02-13T00:00:00"/>
    <s v="Deposit"/>
    <m/>
    <m/>
    <s v="Coach Education"/>
    <s v="L1 Imp"/>
    <s v="Income"/>
    <s v="British Triathlon - coaching bursary"/>
    <m/>
    <n v="825"/>
    <x v="2"/>
    <x v="0"/>
    <n v="825"/>
    <m/>
    <n v="82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825"/>
  </r>
  <r>
    <d v="2013-02-10T00:00:00"/>
    <s v="Online"/>
    <s v="Y"/>
    <s v="0269"/>
    <s v="Coach Education"/>
    <s v="EM310"/>
    <s v="Training manuals"/>
    <s v="Coachwise"/>
    <n v="672"/>
    <m/>
    <x v="3"/>
    <x v="1"/>
    <n v="-672"/>
    <m/>
    <m/>
    <m/>
    <m/>
    <m/>
    <m/>
    <n v="672"/>
    <m/>
    <m/>
    <m/>
    <m/>
    <m/>
    <m/>
    <m/>
    <m/>
    <m/>
    <m/>
    <m/>
    <m/>
    <m/>
    <m/>
    <m/>
    <m/>
    <m/>
    <m/>
    <m/>
    <m/>
    <m/>
    <m/>
    <m/>
    <n v="672"/>
    <n v="0"/>
  </r>
  <r>
    <d v="2013-02-06T00:00:00"/>
    <s v="Online"/>
    <s v="Y"/>
    <s v="0261"/>
    <s v="Coach Education"/>
    <s v="E325"/>
    <s v="Coaches"/>
    <s v="V Ulfik (L2 Cedars)"/>
    <n v="1000"/>
    <m/>
    <x v="3"/>
    <x v="1"/>
    <n v="-1000"/>
    <m/>
    <m/>
    <m/>
    <m/>
    <m/>
    <m/>
    <n v="1000"/>
    <m/>
    <m/>
    <m/>
    <m/>
    <m/>
    <m/>
    <m/>
    <m/>
    <m/>
    <m/>
    <m/>
    <m/>
    <m/>
    <m/>
    <m/>
    <m/>
    <m/>
    <m/>
    <m/>
    <m/>
    <m/>
    <m/>
    <m/>
    <n v="1000"/>
    <n v="0"/>
  </r>
  <r>
    <d v="2013-02-05T00:00:00"/>
    <s v="Online"/>
    <s v="Y"/>
    <s v="0260"/>
    <s v="Coach Education"/>
    <s v="E326"/>
    <s v="Coaches"/>
    <s v="Simon Brierley"/>
    <n v="250"/>
    <m/>
    <x v="3"/>
    <x v="1"/>
    <n v="-250"/>
    <m/>
    <m/>
    <m/>
    <m/>
    <m/>
    <m/>
    <n v="250"/>
    <m/>
    <m/>
    <m/>
    <m/>
    <m/>
    <m/>
    <m/>
    <m/>
    <m/>
    <m/>
    <m/>
    <m/>
    <m/>
    <m/>
    <m/>
    <m/>
    <m/>
    <m/>
    <m/>
    <m/>
    <m/>
    <m/>
    <m/>
    <n v="250"/>
    <n v="0"/>
  </r>
  <r>
    <d v="2013-02-05T00:00:00"/>
    <s v="Online"/>
    <s v="Y"/>
    <s v="0259"/>
    <s v="Regional activity"/>
    <m/>
    <s v="Event quality"/>
    <s v="Blue Splat"/>
    <n v="2238"/>
    <m/>
    <x v="3"/>
    <x v="0"/>
    <n v="-2238"/>
    <n v="2238"/>
    <m/>
    <m/>
    <m/>
    <m/>
    <m/>
    <m/>
    <m/>
    <m/>
    <m/>
    <m/>
    <m/>
    <m/>
    <m/>
    <m/>
    <m/>
    <m/>
    <m/>
    <m/>
    <m/>
    <m/>
    <m/>
    <m/>
    <m/>
    <m/>
    <m/>
    <m/>
    <m/>
    <m/>
    <m/>
    <n v="2238"/>
    <n v="0"/>
  </r>
  <r>
    <d v="2013-02-04T00:00:00"/>
    <s v="Online"/>
    <s v="Y"/>
    <s v="0258"/>
    <s v="Coach Education"/>
    <s v="E326"/>
    <s v="Coaches"/>
    <s v="Geraldine Howard"/>
    <n v="250"/>
    <m/>
    <x v="3"/>
    <x v="1"/>
    <n v="-250"/>
    <m/>
    <m/>
    <m/>
    <m/>
    <m/>
    <m/>
    <n v="250"/>
    <m/>
    <m/>
    <m/>
    <m/>
    <m/>
    <m/>
    <m/>
    <m/>
    <m/>
    <m/>
    <m/>
    <m/>
    <m/>
    <m/>
    <m/>
    <m/>
    <m/>
    <m/>
    <m/>
    <m/>
    <m/>
    <m/>
    <m/>
    <n v="250"/>
    <n v="0"/>
  </r>
  <r>
    <d v="2013-01-31T00:00:00"/>
    <s v="EFT"/>
    <m/>
    <m/>
    <s v="Coach Education"/>
    <m/>
    <s v="Income"/>
    <s v="Bank charge"/>
    <n v="4"/>
    <m/>
    <x v="3"/>
    <x v="1"/>
    <n v="-4"/>
    <m/>
    <m/>
    <m/>
    <m/>
    <m/>
    <m/>
    <n v="4"/>
    <m/>
    <m/>
    <m/>
    <m/>
    <m/>
    <m/>
    <m/>
    <m/>
    <m/>
    <m/>
    <m/>
    <m/>
    <m/>
    <m/>
    <m/>
    <m/>
    <m/>
    <m/>
    <m/>
    <m/>
    <m/>
    <m/>
    <m/>
    <n v="4"/>
    <n v="0"/>
  </r>
  <r>
    <d v="2013-01-31T00:00:00"/>
    <s v="EFT"/>
    <m/>
    <m/>
    <s v="Coach Education"/>
    <m/>
    <s v="Income"/>
    <s v="Unpaid cheque"/>
    <n v="275"/>
    <m/>
    <x v="3"/>
    <x v="1"/>
    <n v="-275"/>
    <m/>
    <m/>
    <m/>
    <m/>
    <m/>
    <m/>
    <n v="275"/>
    <m/>
    <m/>
    <m/>
    <m/>
    <m/>
    <m/>
    <m/>
    <m/>
    <m/>
    <m/>
    <m/>
    <m/>
    <m/>
    <m/>
    <m/>
    <m/>
    <m/>
    <m/>
    <m/>
    <m/>
    <m/>
    <m/>
    <m/>
    <n v="275"/>
    <n v="0"/>
  </r>
  <r>
    <d v="2013-01-28T00:00:00"/>
    <s v="Deposit"/>
    <m/>
    <m/>
    <s v="Coach Education"/>
    <s v="EM310"/>
    <s v="Income"/>
    <s v="Coach Education (EM310)"/>
    <m/>
    <n v="1925"/>
    <x v="2"/>
    <x v="1"/>
    <n v="1925"/>
    <m/>
    <m/>
    <m/>
    <m/>
    <m/>
    <m/>
    <m/>
    <n v="1925"/>
    <m/>
    <m/>
    <m/>
    <m/>
    <m/>
    <m/>
    <m/>
    <m/>
    <m/>
    <m/>
    <m/>
    <m/>
    <m/>
    <m/>
    <m/>
    <m/>
    <m/>
    <m/>
    <m/>
    <m/>
    <m/>
    <m/>
    <n v="0"/>
    <n v="1925"/>
  </r>
  <r>
    <d v="2013-01-28T00:00:00"/>
    <s v="Deposit"/>
    <m/>
    <m/>
    <m/>
    <m/>
    <m/>
    <s v="British Triathlon"/>
    <m/>
    <n v="374"/>
    <x v="2"/>
    <x v="0"/>
    <n v="374"/>
    <m/>
    <n v="374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374"/>
  </r>
  <r>
    <d v="2013-01-22T00:00:00"/>
    <s v="Deposit"/>
    <m/>
    <m/>
    <s v="Regional activity"/>
    <m/>
    <s v="Annual awards"/>
    <s v="Nice Tri"/>
    <m/>
    <n v="120"/>
    <x v="2"/>
    <x v="4"/>
    <n v="120"/>
    <m/>
    <m/>
    <m/>
    <m/>
    <m/>
    <m/>
    <m/>
    <m/>
    <m/>
    <m/>
    <m/>
    <m/>
    <m/>
    <m/>
    <m/>
    <m/>
    <m/>
    <m/>
    <m/>
    <m/>
    <m/>
    <m/>
    <m/>
    <m/>
    <m/>
    <m/>
    <m/>
    <m/>
    <m/>
    <n v="120"/>
    <n v="0"/>
    <n v="120"/>
  </r>
  <r>
    <d v="2013-01-20T00:00:00"/>
    <s v="Deposit"/>
    <m/>
    <m/>
    <s v="Regional activity"/>
    <m/>
    <s v="Annual awards"/>
    <s v="Tri-Anglia"/>
    <m/>
    <n v="100"/>
    <x v="2"/>
    <x v="4"/>
    <n v="100"/>
    <m/>
    <m/>
    <m/>
    <m/>
    <m/>
    <m/>
    <m/>
    <m/>
    <m/>
    <m/>
    <m/>
    <m/>
    <m/>
    <m/>
    <m/>
    <m/>
    <m/>
    <m/>
    <m/>
    <m/>
    <m/>
    <m/>
    <m/>
    <m/>
    <m/>
    <m/>
    <m/>
    <m/>
    <m/>
    <n v="100"/>
    <n v="0"/>
    <n v="100"/>
  </r>
  <r>
    <d v="2013-01-17T00:00:00"/>
    <s v="Deposit"/>
    <m/>
    <m/>
    <s v="Regional activity"/>
    <m/>
    <s v="Annual awards"/>
    <s v="Monster Racing"/>
    <m/>
    <n v="50"/>
    <x v="2"/>
    <x v="4"/>
    <n v="50"/>
    <m/>
    <m/>
    <m/>
    <m/>
    <m/>
    <m/>
    <m/>
    <m/>
    <m/>
    <m/>
    <m/>
    <m/>
    <m/>
    <m/>
    <m/>
    <m/>
    <m/>
    <m/>
    <m/>
    <m/>
    <m/>
    <m/>
    <m/>
    <m/>
    <m/>
    <m/>
    <m/>
    <m/>
    <m/>
    <n v="50"/>
    <n v="0"/>
    <n v="50"/>
  </r>
  <r>
    <d v="2013-01-03T00:00:00"/>
    <s v="Deposit"/>
    <m/>
    <m/>
    <s v="Coach Education"/>
    <s v="EM310"/>
    <s v="Income"/>
    <s v="Coach Educationn (EM310)"/>
    <m/>
    <n v="825"/>
    <x v="2"/>
    <x v="1"/>
    <n v="825"/>
    <m/>
    <m/>
    <m/>
    <m/>
    <m/>
    <m/>
    <m/>
    <n v="825"/>
    <m/>
    <m/>
    <m/>
    <m/>
    <m/>
    <m/>
    <m/>
    <m/>
    <m/>
    <m/>
    <m/>
    <m/>
    <m/>
    <m/>
    <m/>
    <m/>
    <m/>
    <m/>
    <m/>
    <m/>
    <m/>
    <m/>
    <n v="0"/>
    <n v="825"/>
  </r>
  <r>
    <d v="2013-01-02T00:00:00"/>
    <s v="Online"/>
    <s v="Y"/>
    <s v="0257"/>
    <s v="Coach Education"/>
    <m/>
    <s v="Coaches"/>
    <s v="Simon Edwards"/>
    <n v="500"/>
    <m/>
    <x v="3"/>
    <x v="1"/>
    <n v="-500"/>
    <m/>
    <m/>
    <m/>
    <m/>
    <m/>
    <m/>
    <n v="500"/>
    <m/>
    <m/>
    <m/>
    <m/>
    <m/>
    <m/>
    <m/>
    <m/>
    <m/>
    <m/>
    <m/>
    <m/>
    <m/>
    <m/>
    <m/>
    <m/>
    <m/>
    <m/>
    <m/>
    <m/>
    <m/>
    <m/>
    <m/>
    <n v="500"/>
    <n v="0"/>
  </r>
  <r>
    <d v="2012-12-24T00:00:00"/>
    <s v="Deposit"/>
    <m/>
    <m/>
    <s v="Coach Education"/>
    <m/>
    <s v="Income"/>
    <s v="RPM??"/>
    <m/>
    <n v="500"/>
    <x v="2"/>
    <x v="1"/>
    <n v="500"/>
    <m/>
    <m/>
    <m/>
    <m/>
    <m/>
    <m/>
    <m/>
    <n v="500"/>
    <m/>
    <m/>
    <m/>
    <m/>
    <m/>
    <m/>
    <m/>
    <m/>
    <m/>
    <m/>
    <m/>
    <m/>
    <m/>
    <m/>
    <m/>
    <m/>
    <m/>
    <m/>
    <m/>
    <m/>
    <m/>
    <m/>
    <n v="0"/>
    <n v="500"/>
  </r>
  <r>
    <d v="2012-12-17T00:00:00"/>
    <s v="Deposit"/>
    <m/>
    <m/>
    <m/>
    <m/>
    <s v="Officiating"/>
    <s v="British Triathlon"/>
    <m/>
    <n v="1500"/>
    <x v="2"/>
    <x v="3"/>
    <n v="1500"/>
    <m/>
    <m/>
    <m/>
    <m/>
    <m/>
    <m/>
    <m/>
    <m/>
    <m/>
    <m/>
    <m/>
    <m/>
    <m/>
    <m/>
    <m/>
    <m/>
    <m/>
    <m/>
    <m/>
    <m/>
    <m/>
    <m/>
    <m/>
    <m/>
    <m/>
    <m/>
    <m/>
    <n v="1500"/>
    <m/>
    <m/>
    <n v="0"/>
    <n v="1500"/>
  </r>
  <r>
    <d v="2012-12-06T00:00:00"/>
    <s v="Online"/>
    <s v="Y"/>
    <s v="0256"/>
    <s v="Coach Education"/>
    <s v="E326"/>
    <s v="Coaches"/>
    <s v="Karl Grainger"/>
    <n v="1000"/>
    <m/>
    <x v="3"/>
    <x v="1"/>
    <n v="-1000"/>
    <m/>
    <m/>
    <m/>
    <m/>
    <m/>
    <m/>
    <n v="1000"/>
    <m/>
    <m/>
    <m/>
    <m/>
    <m/>
    <m/>
    <m/>
    <m/>
    <m/>
    <m/>
    <m/>
    <m/>
    <m/>
    <m/>
    <m/>
    <m/>
    <m/>
    <m/>
    <m/>
    <m/>
    <m/>
    <m/>
    <m/>
    <n v="1000"/>
    <n v="0"/>
  </r>
  <r>
    <d v="2012-12-06T00:00:00"/>
    <s v="Online"/>
    <s v="Y"/>
    <s v="0255"/>
    <s v="Coach Education"/>
    <m/>
    <s v="Coaching Bursary"/>
    <s v="Adrian Barbrooke"/>
    <n v="247.5"/>
    <m/>
    <x v="3"/>
    <x v="1"/>
    <n v="-247.5"/>
    <m/>
    <m/>
    <m/>
    <m/>
    <m/>
    <m/>
    <n v="247.5"/>
    <m/>
    <m/>
    <m/>
    <m/>
    <m/>
    <m/>
    <m/>
    <m/>
    <m/>
    <m/>
    <m/>
    <m/>
    <m/>
    <m/>
    <m/>
    <m/>
    <m/>
    <m/>
    <m/>
    <m/>
    <m/>
    <m/>
    <m/>
    <n v="247.5"/>
    <n v="0"/>
  </r>
  <r>
    <d v="2012-12-06T00:00:00"/>
    <s v="Online"/>
    <s v="Y"/>
    <s v="0254"/>
    <s v="Regional activity"/>
    <m/>
    <s v="Venues"/>
    <s v="Ashley Nicholson, February meeting venue"/>
    <n v="105.4"/>
    <m/>
    <x v="3"/>
    <x v="5"/>
    <n v="-105.4"/>
    <m/>
    <m/>
    <m/>
    <m/>
    <m/>
    <m/>
    <m/>
    <m/>
    <n v="105.4"/>
    <m/>
    <m/>
    <m/>
    <m/>
    <m/>
    <m/>
    <m/>
    <m/>
    <m/>
    <m/>
    <m/>
    <m/>
    <m/>
    <m/>
    <m/>
    <m/>
    <m/>
    <m/>
    <m/>
    <m/>
    <m/>
    <n v="105.4"/>
    <n v="0"/>
  </r>
  <r>
    <d v="2012-12-05T00:00:00"/>
    <s v="Online"/>
    <s v="Y"/>
    <s v="0253"/>
    <s v="Coach Education"/>
    <s v="E325"/>
    <s v="Royalties"/>
    <s v="British Triathlon"/>
    <n v="420"/>
    <m/>
    <x v="3"/>
    <x v="1"/>
    <n v="-420"/>
    <m/>
    <m/>
    <m/>
    <m/>
    <m/>
    <m/>
    <n v="420"/>
    <m/>
    <m/>
    <m/>
    <m/>
    <m/>
    <m/>
    <m/>
    <m/>
    <m/>
    <m/>
    <m/>
    <m/>
    <m/>
    <m/>
    <m/>
    <m/>
    <m/>
    <m/>
    <m/>
    <m/>
    <m/>
    <m/>
    <m/>
    <n v="420"/>
    <n v="0"/>
  </r>
  <r>
    <d v="2012-12-05T00:00:00"/>
    <s v="Online"/>
    <s v="Y"/>
    <s v="0253"/>
    <s v="Coach Education"/>
    <s v="E324"/>
    <s v="Royalties"/>
    <s v="British Triathlon"/>
    <n v="385"/>
    <m/>
    <x v="3"/>
    <x v="1"/>
    <n v="-385"/>
    <m/>
    <m/>
    <m/>
    <m/>
    <m/>
    <m/>
    <n v="385"/>
    <m/>
    <m/>
    <m/>
    <m/>
    <m/>
    <m/>
    <m/>
    <m/>
    <m/>
    <m/>
    <m/>
    <m/>
    <m/>
    <m/>
    <m/>
    <m/>
    <m/>
    <m/>
    <m/>
    <m/>
    <m/>
    <m/>
    <m/>
    <n v="385"/>
    <n v="0"/>
  </r>
  <r>
    <d v="2012-12-05T00:00:00"/>
    <s v="Online"/>
    <s v="Y"/>
    <s v="0252"/>
    <s v="Coach Education"/>
    <s v="E326"/>
    <s v="Training manuals"/>
    <s v="Coachwise"/>
    <n v="864"/>
    <m/>
    <x v="3"/>
    <x v="1"/>
    <n v="-864"/>
    <m/>
    <m/>
    <m/>
    <m/>
    <m/>
    <m/>
    <n v="864"/>
    <m/>
    <m/>
    <m/>
    <m/>
    <m/>
    <m/>
    <m/>
    <m/>
    <m/>
    <m/>
    <m/>
    <m/>
    <m/>
    <m/>
    <m/>
    <m/>
    <m/>
    <m/>
    <m/>
    <m/>
    <m/>
    <m/>
    <m/>
    <n v="864"/>
    <n v="0"/>
  </r>
  <r>
    <d v="2012-12-03T00:00:00"/>
    <s v="Deposit"/>
    <m/>
    <s v="0248"/>
    <s v="Coach Education"/>
    <s v="E325"/>
    <s v="Coaches"/>
    <s v="Ricky Lee (repayment?)"/>
    <m/>
    <n v="750"/>
    <x v="2"/>
    <x v="1"/>
    <n v="750"/>
    <m/>
    <m/>
    <m/>
    <m/>
    <m/>
    <m/>
    <m/>
    <n v="750"/>
    <m/>
    <m/>
    <m/>
    <m/>
    <m/>
    <m/>
    <m/>
    <m/>
    <m/>
    <m/>
    <m/>
    <m/>
    <m/>
    <m/>
    <m/>
    <m/>
    <m/>
    <m/>
    <m/>
    <m/>
    <m/>
    <m/>
    <n v="0"/>
    <n v="750"/>
  </r>
  <r>
    <d v="2012-12-01T00:00:00"/>
    <s v="Online"/>
    <s v="Y"/>
    <s v="0251"/>
    <s v="Coach Education"/>
    <s v="E325"/>
    <s v="Coaches"/>
    <s v="Simon Edwards"/>
    <n v="500"/>
    <m/>
    <x v="3"/>
    <x v="1"/>
    <n v="500"/>
    <m/>
    <m/>
    <m/>
    <m/>
    <m/>
    <m/>
    <n v="500"/>
    <m/>
    <m/>
    <m/>
    <m/>
    <m/>
    <m/>
    <m/>
    <m/>
    <m/>
    <m/>
    <m/>
    <m/>
    <m/>
    <m/>
    <m/>
    <m/>
    <m/>
    <m/>
    <m/>
    <m/>
    <m/>
    <m/>
    <m/>
    <n v="500"/>
    <n v="0"/>
  </r>
  <r>
    <d v="2012-12-01T00:00:00"/>
    <s v="Online"/>
    <s v="Y"/>
    <s v="0250"/>
    <s v="Coach Education"/>
    <s v="E325"/>
    <s v="Coaches"/>
    <s v="Simon Edwards"/>
    <n v="500"/>
    <m/>
    <x v="3"/>
    <x v="1"/>
    <n v="500"/>
    <m/>
    <m/>
    <m/>
    <m/>
    <m/>
    <m/>
    <n v="500"/>
    <m/>
    <m/>
    <m/>
    <m/>
    <m/>
    <m/>
    <m/>
    <m/>
    <m/>
    <m/>
    <m/>
    <m/>
    <m/>
    <m/>
    <m/>
    <m/>
    <m/>
    <m/>
    <m/>
    <m/>
    <m/>
    <m/>
    <m/>
    <n v="500"/>
    <n v="0"/>
  </r>
  <r>
    <d v="2012-12-01T00:00:00"/>
    <s v="Online"/>
    <s v="Y"/>
    <s v="0249"/>
    <s v="Coach Education"/>
    <s v="E326"/>
    <s v="Assessment"/>
    <s v="Paul Moss"/>
    <n v="24"/>
    <m/>
    <x v="3"/>
    <x v="1"/>
    <n v="24"/>
    <m/>
    <m/>
    <m/>
    <m/>
    <m/>
    <m/>
    <n v="24"/>
    <m/>
    <m/>
    <m/>
    <m/>
    <m/>
    <m/>
    <m/>
    <m/>
    <m/>
    <m/>
    <m/>
    <m/>
    <m/>
    <m/>
    <m/>
    <m/>
    <m/>
    <m/>
    <m/>
    <m/>
    <m/>
    <m/>
    <m/>
    <n v="24"/>
    <n v="0"/>
  </r>
  <r>
    <d v="2012-12-01T00:00:00"/>
    <s v="Online"/>
    <s v="Y"/>
    <s v="0248"/>
    <s v="Coach Education"/>
    <s v="E325"/>
    <s v="Coaches"/>
    <s v="Ricky Lee"/>
    <n v="750"/>
    <m/>
    <x v="3"/>
    <x v="1"/>
    <n v="750"/>
    <m/>
    <m/>
    <m/>
    <m/>
    <m/>
    <m/>
    <n v="750"/>
    <m/>
    <m/>
    <m/>
    <m/>
    <m/>
    <m/>
    <m/>
    <m/>
    <m/>
    <m/>
    <m/>
    <m/>
    <m/>
    <m/>
    <m/>
    <m/>
    <m/>
    <m/>
    <m/>
    <m/>
    <m/>
    <m/>
    <m/>
    <n v="750"/>
    <n v="0"/>
  </r>
  <r>
    <d v="2012-12-01T00:00:00"/>
    <s v="Online"/>
    <s v="Y"/>
    <s v="0247"/>
    <s v="Coach Education"/>
    <s v="E324"/>
    <s v="Venues"/>
    <s v="Cedars Upper School"/>
    <n v="450"/>
    <m/>
    <x v="3"/>
    <x v="1"/>
    <n v="450"/>
    <m/>
    <m/>
    <m/>
    <m/>
    <m/>
    <m/>
    <n v="450"/>
    <m/>
    <m/>
    <m/>
    <m/>
    <m/>
    <m/>
    <m/>
    <m/>
    <m/>
    <m/>
    <m/>
    <m/>
    <m/>
    <m/>
    <m/>
    <m/>
    <m/>
    <m/>
    <m/>
    <m/>
    <m/>
    <m/>
    <m/>
    <n v="450"/>
    <n v="0"/>
  </r>
  <r>
    <d v="2012-12-01T00:00:00"/>
    <s v="Online"/>
    <s v="Y"/>
    <s v="0246"/>
    <s v="Coach Education"/>
    <s v="E326"/>
    <s v="Coaches"/>
    <s v="Simon Edwards"/>
    <n v="500"/>
    <m/>
    <x v="3"/>
    <x v="1"/>
    <n v="-500"/>
    <m/>
    <m/>
    <m/>
    <m/>
    <m/>
    <m/>
    <n v="500"/>
    <m/>
    <m/>
    <m/>
    <m/>
    <m/>
    <m/>
    <m/>
    <m/>
    <m/>
    <m/>
    <m/>
    <m/>
    <m/>
    <m/>
    <m/>
    <m/>
    <m/>
    <m/>
    <m/>
    <m/>
    <m/>
    <m/>
    <m/>
    <n v="500"/>
    <n v="0"/>
  </r>
  <r>
    <d v="2012-11-26T00:00:00"/>
    <s v="Online"/>
    <m/>
    <m/>
    <s v="Coach Education"/>
    <m/>
    <s v="Coaching Bursary"/>
    <s v="???"/>
    <n v="495"/>
    <m/>
    <x v="3"/>
    <x v="1"/>
    <n v="-495"/>
    <m/>
    <m/>
    <m/>
    <m/>
    <m/>
    <m/>
    <n v="495"/>
    <m/>
    <m/>
    <m/>
    <m/>
    <m/>
    <m/>
    <m/>
    <m/>
    <m/>
    <m/>
    <m/>
    <m/>
    <m/>
    <m/>
    <m/>
    <m/>
    <m/>
    <m/>
    <m/>
    <m/>
    <m/>
    <m/>
    <m/>
    <n v="495"/>
    <n v="0"/>
  </r>
  <r>
    <d v="2012-11-16T00:00:00"/>
    <s v="Deposit"/>
    <m/>
    <m/>
    <s v="Coach Education"/>
    <s v="E326"/>
    <s v="Income"/>
    <s v="Coach Education (E326, Nov, Basildon)"/>
    <m/>
    <n v="6190"/>
    <x v="2"/>
    <x v="1"/>
    <n v="6190"/>
    <m/>
    <m/>
    <m/>
    <m/>
    <m/>
    <m/>
    <m/>
    <n v="6190"/>
    <m/>
    <m/>
    <m/>
    <m/>
    <m/>
    <m/>
    <m/>
    <m/>
    <m/>
    <m/>
    <m/>
    <m/>
    <m/>
    <m/>
    <m/>
    <m/>
    <m/>
    <m/>
    <m/>
    <m/>
    <m/>
    <m/>
    <n v="0"/>
    <n v="6190"/>
  </r>
  <r>
    <d v="2012-11-01T00:00:00"/>
    <s v="Online"/>
    <s v="Y"/>
    <s v="0245"/>
    <s v="Coach Education"/>
    <s v="E324"/>
    <s v="Coaches"/>
    <s v="Paula Dewar"/>
    <n v="750"/>
    <m/>
    <x v="3"/>
    <x v="1"/>
    <n v="-750"/>
    <m/>
    <m/>
    <m/>
    <m/>
    <m/>
    <m/>
    <n v="750"/>
    <m/>
    <m/>
    <m/>
    <m/>
    <m/>
    <m/>
    <m/>
    <m/>
    <m/>
    <m/>
    <m/>
    <m/>
    <m/>
    <m/>
    <m/>
    <m/>
    <m/>
    <m/>
    <m/>
    <m/>
    <m/>
    <m/>
    <m/>
    <n v="750"/>
    <n v="0"/>
  </r>
  <r>
    <d v="2012-10-31T00:00:00"/>
    <s v="Online"/>
    <s v="Y"/>
    <s v="0244"/>
    <s v="Regional activity"/>
    <m/>
    <s v="AGM"/>
    <s v="Richard Fuller"/>
    <n v="218"/>
    <m/>
    <x v="3"/>
    <x v="6"/>
    <n v="-218"/>
    <m/>
    <m/>
    <m/>
    <m/>
    <m/>
    <m/>
    <m/>
    <m/>
    <n v="218"/>
    <m/>
    <m/>
    <m/>
    <m/>
    <m/>
    <m/>
    <m/>
    <m/>
    <m/>
    <m/>
    <m/>
    <m/>
    <m/>
    <m/>
    <m/>
    <m/>
    <m/>
    <m/>
    <m/>
    <m/>
    <m/>
    <n v="218"/>
    <n v="0"/>
  </r>
  <r>
    <d v="2012-10-31T00:00:00"/>
    <s v="Online"/>
    <s v="Y"/>
    <s v="0241"/>
    <s v="Regional activity"/>
    <m/>
    <s v="Annual awards"/>
    <s v="Richard Fuller"/>
    <n v="683.9"/>
    <m/>
    <x v="3"/>
    <x v="4"/>
    <n v="-683.9"/>
    <m/>
    <m/>
    <m/>
    <m/>
    <m/>
    <m/>
    <m/>
    <m/>
    <m/>
    <m/>
    <m/>
    <m/>
    <m/>
    <m/>
    <m/>
    <m/>
    <m/>
    <m/>
    <m/>
    <m/>
    <m/>
    <m/>
    <m/>
    <m/>
    <m/>
    <m/>
    <m/>
    <m/>
    <n v="683.9"/>
    <m/>
    <n v="683.9"/>
    <n v="0"/>
  </r>
  <r>
    <d v="2012-10-31T00:00:00"/>
    <s v="Online"/>
    <s v="Y"/>
    <s v="0240"/>
    <s v="Regional activity"/>
    <m/>
    <s v="Website"/>
    <s v="Richard Fuller"/>
    <n v="51.09"/>
    <m/>
    <x v="3"/>
    <x v="7"/>
    <n v="-51.09"/>
    <m/>
    <m/>
    <m/>
    <m/>
    <m/>
    <m/>
    <m/>
    <m/>
    <n v="51.09"/>
    <m/>
    <m/>
    <m/>
    <m/>
    <m/>
    <m/>
    <m/>
    <m/>
    <m/>
    <m/>
    <m/>
    <m/>
    <m/>
    <m/>
    <m/>
    <m/>
    <m/>
    <m/>
    <m/>
    <m/>
    <m/>
    <n v="51.09"/>
    <n v="0"/>
  </r>
  <r>
    <d v="2012-10-31T00:00:00"/>
    <s v="Online"/>
    <s v="Y"/>
    <s v="0243"/>
    <s v="Academy"/>
    <m/>
    <s v="Training Camp"/>
    <s v="Tim Williams"/>
    <n v="1400"/>
    <m/>
    <x v="3"/>
    <x v="8"/>
    <n v="-1400"/>
    <m/>
    <m/>
    <m/>
    <m/>
    <m/>
    <m/>
    <m/>
    <m/>
    <m/>
    <m/>
    <n v="1400"/>
    <m/>
    <m/>
    <m/>
    <m/>
    <m/>
    <m/>
    <m/>
    <m/>
    <m/>
    <m/>
    <m/>
    <m/>
    <m/>
    <m/>
    <m/>
    <m/>
    <m/>
    <m/>
    <m/>
    <n v="1400"/>
    <n v="0"/>
  </r>
  <r>
    <d v="2012-10-31T00:00:00"/>
    <s v="Online"/>
    <s v="Y"/>
    <s v="0243"/>
    <s v="Academy"/>
    <m/>
    <s v="Venues"/>
    <s v="Tim Williams"/>
    <n v="20"/>
    <m/>
    <x v="3"/>
    <x v="8"/>
    <n v="-20"/>
    <m/>
    <m/>
    <m/>
    <m/>
    <m/>
    <m/>
    <m/>
    <m/>
    <m/>
    <m/>
    <n v="20"/>
    <m/>
    <m/>
    <m/>
    <m/>
    <m/>
    <m/>
    <m/>
    <m/>
    <m/>
    <m/>
    <m/>
    <m/>
    <m/>
    <m/>
    <m/>
    <m/>
    <m/>
    <m/>
    <m/>
    <n v="20"/>
    <n v="0"/>
  </r>
  <r>
    <d v="2012-10-31T00:00:00"/>
    <s v="Online"/>
    <s v="Y"/>
    <s v="0243"/>
    <s v="Academy"/>
    <m/>
    <s v="Travel"/>
    <s v="Tim Williams"/>
    <n v="102.5"/>
    <m/>
    <x v="3"/>
    <x v="8"/>
    <n v="-102.5"/>
    <m/>
    <m/>
    <m/>
    <m/>
    <m/>
    <m/>
    <m/>
    <m/>
    <m/>
    <m/>
    <n v="102.5"/>
    <m/>
    <m/>
    <m/>
    <m/>
    <m/>
    <m/>
    <m/>
    <m/>
    <m/>
    <m/>
    <m/>
    <m/>
    <m/>
    <m/>
    <m/>
    <m/>
    <m/>
    <m/>
    <m/>
    <n v="102.5"/>
    <n v="0"/>
  </r>
  <r>
    <d v="2012-10-31T00:00:00"/>
    <s v="Online"/>
    <s v="Y"/>
    <s v="0242"/>
    <s v="Academy"/>
    <m/>
    <s v="Venues"/>
    <s v="Tim Williams"/>
    <n v="217.5"/>
    <m/>
    <x v="3"/>
    <x v="8"/>
    <n v="-217.5"/>
    <m/>
    <m/>
    <m/>
    <m/>
    <m/>
    <m/>
    <m/>
    <m/>
    <m/>
    <m/>
    <n v="217.5"/>
    <m/>
    <m/>
    <m/>
    <m/>
    <m/>
    <m/>
    <m/>
    <m/>
    <m/>
    <m/>
    <m/>
    <m/>
    <m/>
    <m/>
    <m/>
    <m/>
    <m/>
    <m/>
    <m/>
    <n v="217.5"/>
    <n v="0"/>
  </r>
  <r>
    <d v="2012-10-31T00:00:00"/>
    <s v="Online"/>
    <s v="Y"/>
    <s v="0242"/>
    <s v="Regional activity"/>
    <m/>
    <s v="Kit"/>
    <s v="Tim Williams (IRC kit)"/>
    <n v="198.25"/>
    <m/>
    <x v="3"/>
    <x v="9"/>
    <n v="-198.25"/>
    <m/>
    <m/>
    <m/>
    <m/>
    <n v="198.25"/>
    <m/>
    <m/>
    <m/>
    <m/>
    <m/>
    <m/>
    <m/>
    <m/>
    <m/>
    <m/>
    <m/>
    <m/>
    <m/>
    <m/>
    <m/>
    <m/>
    <m/>
    <m/>
    <m/>
    <m/>
    <m/>
    <m/>
    <m/>
    <m/>
    <m/>
    <n v="198.25"/>
    <n v="0"/>
  </r>
  <r>
    <d v="2012-10-31T00:00:00"/>
    <s v="Online"/>
    <s v="Y"/>
    <s v="0242"/>
    <s v="Academy"/>
    <m/>
    <s v="Travel"/>
    <s v="Tim Williams"/>
    <n v="163"/>
    <m/>
    <x v="3"/>
    <x v="8"/>
    <n v="-163"/>
    <m/>
    <m/>
    <m/>
    <m/>
    <m/>
    <m/>
    <m/>
    <m/>
    <m/>
    <m/>
    <n v="163"/>
    <m/>
    <m/>
    <m/>
    <m/>
    <m/>
    <m/>
    <m/>
    <m/>
    <m/>
    <m/>
    <m/>
    <m/>
    <m/>
    <m/>
    <m/>
    <m/>
    <m/>
    <m/>
    <m/>
    <n v="163"/>
    <n v="0"/>
  </r>
  <r>
    <d v="2012-10-30T00:00:00"/>
    <s v="Deposit"/>
    <m/>
    <m/>
    <s v="Regional activity"/>
    <m/>
    <s v="Interest"/>
    <s v="Gross interest on savings account"/>
    <m/>
    <n v="1.44"/>
    <x v="2"/>
    <x v="10"/>
    <n v="1.44"/>
    <m/>
    <m/>
    <m/>
    <m/>
    <m/>
    <m/>
    <m/>
    <m/>
    <m/>
    <m/>
    <m/>
    <m/>
    <m/>
    <m/>
    <m/>
    <m/>
    <m/>
    <m/>
    <m/>
    <m/>
    <m/>
    <n v="1.44"/>
    <m/>
    <m/>
    <m/>
    <m/>
    <m/>
    <m/>
    <m/>
    <m/>
    <n v="0"/>
    <n v="1.44"/>
  </r>
  <r>
    <d v="2012-10-29T00:00:00"/>
    <s v="EFT"/>
    <m/>
    <m/>
    <s v="Coach Education"/>
    <m/>
    <s v="Misc expense"/>
    <s v="HSBC - Bank charge"/>
    <n v="4"/>
    <m/>
    <x v="3"/>
    <x v="1"/>
    <n v="-4"/>
    <m/>
    <m/>
    <m/>
    <m/>
    <m/>
    <m/>
    <n v="4"/>
    <m/>
    <m/>
    <m/>
    <m/>
    <m/>
    <m/>
    <m/>
    <m/>
    <m/>
    <m/>
    <m/>
    <m/>
    <m/>
    <m/>
    <m/>
    <m/>
    <m/>
    <m/>
    <m/>
    <m/>
    <m/>
    <m/>
    <m/>
    <n v="4"/>
    <n v="0"/>
  </r>
  <r>
    <d v="2012-10-28T00:00:00"/>
    <s v="Online"/>
    <s v="Y"/>
    <s v="0239"/>
    <s v="Coach Education"/>
    <s v="E325"/>
    <s v="Training manuals"/>
    <s v="Coachwise"/>
    <n v="702"/>
    <m/>
    <x v="3"/>
    <x v="1"/>
    <n v="-702"/>
    <m/>
    <m/>
    <m/>
    <m/>
    <m/>
    <m/>
    <n v="702"/>
    <m/>
    <m/>
    <m/>
    <m/>
    <m/>
    <m/>
    <m/>
    <m/>
    <m/>
    <m/>
    <m/>
    <m/>
    <m/>
    <m/>
    <m/>
    <m/>
    <m/>
    <m/>
    <m/>
    <m/>
    <m/>
    <m/>
    <m/>
    <n v="702"/>
    <n v="0"/>
  </r>
  <r>
    <d v="2012-10-24T00:00:00"/>
    <s v="Deposit"/>
    <m/>
    <m/>
    <s v="Coach Education"/>
    <m/>
    <s v="Income"/>
    <s v="Coach Education"/>
    <m/>
    <n v="4207.5"/>
    <x v="2"/>
    <x v="1"/>
    <n v="4207.5"/>
    <m/>
    <m/>
    <m/>
    <m/>
    <m/>
    <m/>
    <m/>
    <n v="4207.5"/>
    <m/>
    <m/>
    <m/>
    <m/>
    <m/>
    <m/>
    <m/>
    <m/>
    <m/>
    <m/>
    <m/>
    <m/>
    <m/>
    <m/>
    <m/>
    <m/>
    <m/>
    <m/>
    <m/>
    <m/>
    <m/>
    <m/>
    <n v="0"/>
    <n v="4207.5"/>
  </r>
  <r>
    <d v="2012-10-12T00:00:00"/>
    <n v="100150"/>
    <s v="Y"/>
    <s v="0238"/>
    <s v="Coach Education"/>
    <s v="E324"/>
    <s v="Training manuals"/>
    <s v="Coachwise"/>
    <n v="768"/>
    <m/>
    <x v="3"/>
    <x v="1"/>
    <n v="-768"/>
    <m/>
    <m/>
    <m/>
    <m/>
    <m/>
    <m/>
    <n v="768"/>
    <m/>
    <m/>
    <m/>
    <m/>
    <m/>
    <m/>
    <m/>
    <m/>
    <m/>
    <m/>
    <m/>
    <m/>
    <m/>
    <m/>
    <m/>
    <m/>
    <m/>
    <m/>
    <m/>
    <m/>
    <m/>
    <m/>
    <m/>
    <n v="768"/>
    <n v="0"/>
  </r>
  <r>
    <d v="2012-10-08T00:00:00"/>
    <s v="Deposit"/>
    <m/>
    <m/>
    <s v="Academy"/>
    <m/>
    <s v="BTA Grant"/>
    <s v="British Triathlon"/>
    <m/>
    <n v="1500"/>
    <x v="2"/>
    <x v="8"/>
    <n v="1500"/>
    <m/>
    <m/>
    <m/>
    <m/>
    <m/>
    <m/>
    <m/>
    <m/>
    <m/>
    <m/>
    <m/>
    <n v="1500"/>
    <m/>
    <m/>
    <m/>
    <m/>
    <m/>
    <m/>
    <m/>
    <m/>
    <m/>
    <m/>
    <m/>
    <m/>
    <m/>
    <m/>
    <m/>
    <m/>
    <m/>
    <m/>
    <n v="0"/>
    <n v="1500"/>
  </r>
  <r>
    <d v="2012-10-08T00:00:00"/>
    <s v="Deposit"/>
    <m/>
    <m/>
    <s v="Coach Education"/>
    <s v="E326"/>
    <s v="Income"/>
    <s v="CAF Funding (x3)"/>
    <m/>
    <n v="740"/>
    <x v="2"/>
    <x v="1"/>
    <n v="740"/>
    <m/>
    <m/>
    <m/>
    <m/>
    <m/>
    <m/>
    <m/>
    <n v="740"/>
    <m/>
    <m/>
    <m/>
    <m/>
    <m/>
    <m/>
    <m/>
    <m/>
    <m/>
    <m/>
    <m/>
    <m/>
    <m/>
    <m/>
    <m/>
    <m/>
    <m/>
    <m/>
    <m/>
    <m/>
    <m/>
    <m/>
    <n v="0"/>
    <n v="740"/>
  </r>
  <r>
    <d v="2012-10-08T00:00:00"/>
    <s v="Deposit"/>
    <m/>
    <m/>
    <s v="Coach Education"/>
    <m/>
    <s v="Income"/>
    <s v="Coach Education"/>
    <m/>
    <n v="275"/>
    <x v="2"/>
    <x v="1"/>
    <n v="275"/>
    <m/>
    <m/>
    <m/>
    <m/>
    <m/>
    <m/>
    <m/>
    <n v="275"/>
    <m/>
    <m/>
    <m/>
    <m/>
    <m/>
    <m/>
    <m/>
    <m/>
    <m/>
    <m/>
    <m/>
    <m/>
    <m/>
    <m/>
    <m/>
    <m/>
    <m/>
    <m/>
    <m/>
    <m/>
    <m/>
    <m/>
    <n v="0"/>
    <n v="275"/>
  </r>
  <r>
    <d v="2012-10-08T00:00:00"/>
    <s v="Deposit"/>
    <m/>
    <m/>
    <s v="Coach Education"/>
    <m/>
    <s v="Income"/>
    <s v="Coach Education"/>
    <m/>
    <n v="45"/>
    <x v="2"/>
    <x v="1"/>
    <n v="45"/>
    <m/>
    <m/>
    <m/>
    <m/>
    <m/>
    <m/>
    <m/>
    <n v="45"/>
    <m/>
    <m/>
    <m/>
    <m/>
    <m/>
    <m/>
    <m/>
    <m/>
    <m/>
    <m/>
    <m/>
    <m/>
    <m/>
    <m/>
    <m/>
    <m/>
    <m/>
    <m/>
    <m/>
    <m/>
    <m/>
    <m/>
    <n v="0"/>
    <n v="45"/>
  </r>
  <r>
    <d v="2012-10-08T00:00:00"/>
    <s v="Deposit"/>
    <m/>
    <m/>
    <s v="Coach Education"/>
    <m/>
    <s v="BTF Admin Charges"/>
    <s v="BTF Admin Fees"/>
    <n v="9.0500000000000007"/>
    <m/>
    <x v="3"/>
    <x v="1"/>
    <n v="-9.0500000000000007"/>
    <m/>
    <m/>
    <m/>
    <m/>
    <m/>
    <m/>
    <n v="9.0500000000000007"/>
    <m/>
    <m/>
    <m/>
    <m/>
    <m/>
    <m/>
    <m/>
    <m/>
    <m/>
    <m/>
    <m/>
    <m/>
    <m/>
    <m/>
    <m/>
    <m/>
    <m/>
    <m/>
    <m/>
    <m/>
    <m/>
    <m/>
    <m/>
    <n v="9.0500000000000007"/>
    <n v="0"/>
  </r>
  <r>
    <d v="2012-10-04T00:00:00"/>
    <s v="Deposit"/>
    <m/>
    <m/>
    <s v="Coach Education"/>
    <s v="E324"/>
    <s v="Income"/>
    <s v="Coach Education"/>
    <m/>
    <n v="2475"/>
    <x v="2"/>
    <x v="1"/>
    <n v="2475"/>
    <m/>
    <m/>
    <m/>
    <m/>
    <m/>
    <m/>
    <m/>
    <n v="2475"/>
    <m/>
    <m/>
    <m/>
    <m/>
    <m/>
    <m/>
    <m/>
    <m/>
    <m/>
    <m/>
    <m/>
    <m/>
    <m/>
    <m/>
    <m/>
    <m/>
    <m/>
    <m/>
    <m/>
    <m/>
    <m/>
    <m/>
    <n v="0"/>
    <n v="2475"/>
  </r>
  <r>
    <d v="2012-09-30T00:00:00"/>
    <s v="Deposit"/>
    <m/>
    <m/>
    <s v="Regional activity"/>
    <m/>
    <s v="Interest"/>
    <s v="Gross interest on savings account"/>
    <m/>
    <n v="1.49"/>
    <x v="2"/>
    <x v="10"/>
    <n v="1.49"/>
    <m/>
    <m/>
    <m/>
    <m/>
    <m/>
    <m/>
    <m/>
    <m/>
    <m/>
    <m/>
    <m/>
    <m/>
    <m/>
    <m/>
    <m/>
    <m/>
    <m/>
    <m/>
    <m/>
    <m/>
    <m/>
    <n v="1.49"/>
    <m/>
    <m/>
    <m/>
    <m/>
    <m/>
    <m/>
    <m/>
    <m/>
    <n v="0"/>
    <n v="1.49"/>
  </r>
  <r>
    <d v="2012-09-18T00:00:00"/>
    <s v="Deposit"/>
    <m/>
    <m/>
    <s v="Coach Education"/>
    <s v="E325"/>
    <s v="Income"/>
    <s v="Leighton Buzzard Tri"/>
    <m/>
    <n v="495"/>
    <x v="2"/>
    <x v="1"/>
    <n v="495"/>
    <m/>
    <m/>
    <m/>
    <m/>
    <m/>
    <m/>
    <m/>
    <n v="495"/>
    <m/>
    <m/>
    <m/>
    <m/>
    <m/>
    <m/>
    <m/>
    <m/>
    <m/>
    <m/>
    <m/>
    <m/>
    <m/>
    <m/>
    <m/>
    <m/>
    <m/>
    <m/>
    <m/>
    <m/>
    <m/>
    <m/>
    <n v="0"/>
    <n v="495"/>
  </r>
  <r>
    <d v="2012-09-17T00:00:00"/>
    <s v="Deposit"/>
    <m/>
    <m/>
    <s v="Coach Education"/>
    <s v="E324"/>
    <s v="Income"/>
    <s v="Leighton Buzzard Tri"/>
    <m/>
    <n v="550"/>
    <x v="2"/>
    <x v="1"/>
    <n v="550"/>
    <m/>
    <m/>
    <m/>
    <m/>
    <m/>
    <m/>
    <m/>
    <n v="550"/>
    <m/>
    <m/>
    <m/>
    <m/>
    <m/>
    <m/>
    <m/>
    <m/>
    <m/>
    <m/>
    <m/>
    <m/>
    <m/>
    <m/>
    <m/>
    <m/>
    <m/>
    <m/>
    <m/>
    <m/>
    <m/>
    <m/>
    <n v="0"/>
    <n v="550"/>
  </r>
  <r>
    <d v="2012-09-12T00:00:00"/>
    <s v="Online"/>
    <s v="Y"/>
    <s v="0237"/>
    <s v="Regional activity"/>
    <m/>
    <s v="Kit"/>
    <s v="Impsport - balance on IRC kit"/>
    <n v="487.5"/>
    <m/>
    <x v="3"/>
    <x v="9"/>
    <n v="-487.5"/>
    <m/>
    <m/>
    <m/>
    <m/>
    <n v="487.5"/>
    <m/>
    <m/>
    <m/>
    <m/>
    <m/>
    <m/>
    <m/>
    <m/>
    <m/>
    <m/>
    <m/>
    <m/>
    <m/>
    <m/>
    <m/>
    <m/>
    <m/>
    <m/>
    <m/>
    <m/>
    <m/>
    <m/>
    <m/>
    <m/>
    <m/>
    <n v="487.5"/>
    <n v="0"/>
  </r>
  <r>
    <d v="2012-09-11T00:00:00"/>
    <s v="Online"/>
    <s v="Y`"/>
    <s v="236"/>
    <s v="Coach Education"/>
    <s v="RTO"/>
    <s v="Venues"/>
    <s v="Hemel Hempstead Cycle Club"/>
    <n v="35"/>
    <m/>
    <x v="3"/>
    <x v="1"/>
    <n v="-35"/>
    <m/>
    <m/>
    <m/>
    <m/>
    <m/>
    <m/>
    <n v="35"/>
    <m/>
    <m/>
    <m/>
    <m/>
    <m/>
    <m/>
    <m/>
    <m/>
    <m/>
    <m/>
    <m/>
    <m/>
    <m/>
    <m/>
    <m/>
    <m/>
    <m/>
    <m/>
    <m/>
    <m/>
    <m/>
    <m/>
    <m/>
    <n v="35"/>
    <n v="0"/>
  </r>
  <r>
    <d v="2012-09-11T00:00:00"/>
    <n v="100149"/>
    <s v="Y"/>
    <s v="235"/>
    <s v="Coach Education"/>
    <s v="E316"/>
    <s v="Venues"/>
    <s v="St Felix School Swimming Club"/>
    <n v="1000"/>
    <m/>
    <x v="3"/>
    <x v="1"/>
    <n v="-1000"/>
    <m/>
    <m/>
    <m/>
    <m/>
    <m/>
    <m/>
    <n v="1000"/>
    <m/>
    <m/>
    <m/>
    <m/>
    <m/>
    <m/>
    <m/>
    <m/>
    <m/>
    <m/>
    <m/>
    <m/>
    <m/>
    <m/>
    <m/>
    <m/>
    <m/>
    <m/>
    <m/>
    <m/>
    <m/>
    <m/>
    <m/>
    <n v="1000"/>
    <n v="0"/>
  </r>
  <r>
    <d v="2012-08-30T00:00:00"/>
    <s v="Deposit"/>
    <m/>
    <m/>
    <s v="Regional activity"/>
    <m/>
    <s v="Interest"/>
    <s v="Gross interest on savings account"/>
    <m/>
    <n v="0.48"/>
    <x v="2"/>
    <x v="10"/>
    <n v="0.48"/>
    <m/>
    <m/>
    <m/>
    <m/>
    <m/>
    <m/>
    <m/>
    <m/>
    <m/>
    <m/>
    <m/>
    <m/>
    <m/>
    <m/>
    <m/>
    <m/>
    <m/>
    <m/>
    <m/>
    <m/>
    <m/>
    <n v="0.48"/>
    <m/>
    <m/>
    <m/>
    <m/>
    <m/>
    <m/>
    <m/>
    <m/>
    <n v="0"/>
    <n v="0.48"/>
  </r>
  <r>
    <d v="2012-08-20T00:00:00"/>
    <s v="Online"/>
    <m/>
    <s v="234"/>
    <s v="Coach Education"/>
    <s v="E316"/>
    <s v="Coaches"/>
    <s v="Geraldine Howard"/>
    <n v="250"/>
    <m/>
    <x v="3"/>
    <x v="1"/>
    <n v="-250"/>
    <m/>
    <m/>
    <m/>
    <m/>
    <m/>
    <m/>
    <n v="250"/>
    <m/>
    <m/>
    <m/>
    <m/>
    <m/>
    <m/>
    <m/>
    <m/>
    <m/>
    <m/>
    <m/>
    <m/>
    <m/>
    <m/>
    <m/>
    <m/>
    <m/>
    <m/>
    <m/>
    <m/>
    <m/>
    <m/>
    <m/>
    <n v="250"/>
    <n v="0"/>
  </r>
  <r>
    <d v="2012-08-15T00:00:00"/>
    <s v="Online"/>
    <m/>
    <s v="233"/>
    <s v="Coach Education"/>
    <s v="E316"/>
    <s v="Assessment"/>
    <s v="Geraldine Howard"/>
    <n v="52.55"/>
    <m/>
    <x v="3"/>
    <x v="1"/>
    <n v="-52.55"/>
    <m/>
    <m/>
    <m/>
    <m/>
    <m/>
    <m/>
    <n v="52.55"/>
    <m/>
    <m/>
    <m/>
    <m/>
    <m/>
    <m/>
    <m/>
    <m/>
    <m/>
    <m/>
    <m/>
    <m/>
    <m/>
    <m/>
    <m/>
    <m/>
    <m/>
    <m/>
    <m/>
    <m/>
    <m/>
    <m/>
    <m/>
    <n v="52.55"/>
    <n v="0"/>
  </r>
  <r>
    <d v="2012-08-15T00:00:00"/>
    <s v="Online"/>
    <m/>
    <s v="232"/>
    <s v="Coach Education"/>
    <m/>
    <s v="Coaches"/>
    <s v="C M Williams"/>
    <n v="250"/>
    <m/>
    <x v="3"/>
    <x v="1"/>
    <n v="-250"/>
    <m/>
    <m/>
    <m/>
    <m/>
    <m/>
    <m/>
    <n v="250"/>
    <m/>
    <m/>
    <m/>
    <m/>
    <m/>
    <m/>
    <m/>
    <m/>
    <m/>
    <m/>
    <m/>
    <m/>
    <m/>
    <m/>
    <m/>
    <m/>
    <m/>
    <m/>
    <m/>
    <m/>
    <m/>
    <m/>
    <m/>
    <n v="250"/>
    <n v="0"/>
  </r>
  <r>
    <d v="2012-08-15T00:00:00"/>
    <s v="Online"/>
    <s v="Y"/>
    <m/>
    <s v="Coach Education"/>
    <m/>
    <s v="Coaches"/>
    <s v="A1 Health &amp; fitness ()"/>
    <n v="250"/>
    <m/>
    <x v="3"/>
    <x v="1"/>
    <n v="-250"/>
    <m/>
    <m/>
    <m/>
    <m/>
    <m/>
    <m/>
    <n v="250"/>
    <m/>
    <m/>
    <m/>
    <m/>
    <m/>
    <m/>
    <m/>
    <m/>
    <m/>
    <m/>
    <m/>
    <m/>
    <m/>
    <m/>
    <m/>
    <m/>
    <m/>
    <m/>
    <m/>
    <m/>
    <m/>
    <m/>
    <m/>
    <n v="250"/>
    <n v="0"/>
  </r>
  <r>
    <d v="2012-08-07T00:00:00"/>
    <s v="Online"/>
    <s v="Y"/>
    <s v="229"/>
    <s v="Regional activity"/>
    <m/>
    <s v="Kit"/>
    <s v="Deposit on IRC kit"/>
    <n v="500"/>
    <m/>
    <x v="3"/>
    <x v="9"/>
    <n v="-500"/>
    <m/>
    <m/>
    <m/>
    <m/>
    <n v="500"/>
    <m/>
    <m/>
    <m/>
    <m/>
    <m/>
    <m/>
    <m/>
    <m/>
    <m/>
    <m/>
    <m/>
    <m/>
    <m/>
    <m/>
    <m/>
    <m/>
    <m/>
    <m/>
    <m/>
    <m/>
    <m/>
    <m/>
    <m/>
    <m/>
    <m/>
    <n v="500"/>
    <n v="0"/>
  </r>
  <r>
    <d v="2012-08-06T00:00:00"/>
    <s v="Online"/>
    <s v="Y"/>
    <s v="228"/>
    <s v="Coach Education"/>
    <s v="RTO"/>
    <s v="Coaches"/>
    <s v="Jonathan Davies - RTO course expenses"/>
    <n v="49.2"/>
    <m/>
    <x v="3"/>
    <x v="1"/>
    <n v="-49.2"/>
    <m/>
    <m/>
    <m/>
    <m/>
    <m/>
    <m/>
    <n v="49.2"/>
    <m/>
    <m/>
    <m/>
    <m/>
    <m/>
    <m/>
    <m/>
    <m/>
    <m/>
    <m/>
    <m/>
    <m/>
    <m/>
    <m/>
    <m/>
    <m/>
    <m/>
    <m/>
    <m/>
    <m/>
    <m/>
    <m/>
    <m/>
    <n v="49.2"/>
    <n v="0"/>
  </r>
  <r>
    <d v="2012-07-27T00:00:00"/>
    <s v="Deposit"/>
    <m/>
    <m/>
    <s v="Coach Education"/>
    <s v="RTO"/>
    <s v="Income"/>
    <s v="RTO Course"/>
    <m/>
    <n v="75"/>
    <x v="2"/>
    <x v="1"/>
    <n v="75"/>
    <m/>
    <m/>
    <m/>
    <m/>
    <m/>
    <m/>
    <m/>
    <n v="75"/>
    <m/>
    <m/>
    <m/>
    <m/>
    <m/>
    <m/>
    <m/>
    <m/>
    <m/>
    <m/>
    <m/>
    <m/>
    <m/>
    <m/>
    <m/>
    <m/>
    <m/>
    <m/>
    <m/>
    <m/>
    <m/>
    <m/>
    <n v="0"/>
    <n v="75"/>
  </r>
  <r>
    <d v="2012-07-27T00:00:00"/>
    <s v="Deposit"/>
    <m/>
    <m/>
    <s v="Coach Education"/>
    <s v="RTO"/>
    <s v="Income"/>
    <s v="RTO Course"/>
    <m/>
    <n v="15"/>
    <x v="2"/>
    <x v="1"/>
    <n v="15"/>
    <m/>
    <m/>
    <m/>
    <m/>
    <m/>
    <m/>
    <m/>
    <n v="15"/>
    <m/>
    <m/>
    <m/>
    <m/>
    <m/>
    <m/>
    <m/>
    <m/>
    <m/>
    <m/>
    <m/>
    <m/>
    <m/>
    <m/>
    <m/>
    <m/>
    <m/>
    <m/>
    <m/>
    <m/>
    <m/>
    <m/>
    <n v="0"/>
    <n v="15"/>
  </r>
  <r>
    <d v="2012-07-27T00:00:00"/>
    <s v="Deposit"/>
    <m/>
    <m/>
    <s v="Regional activity"/>
    <m/>
    <s v="BTA Grant"/>
    <s v="British Triathlon"/>
    <m/>
    <n v="2750"/>
    <x v="2"/>
    <x v="1"/>
    <n v="2750"/>
    <m/>
    <m/>
    <m/>
    <m/>
    <m/>
    <m/>
    <m/>
    <m/>
    <m/>
    <n v="2750"/>
    <m/>
    <m/>
    <m/>
    <m/>
    <m/>
    <m/>
    <m/>
    <m/>
    <m/>
    <m/>
    <m/>
    <m/>
    <m/>
    <m/>
    <m/>
    <m/>
    <m/>
    <m/>
    <m/>
    <m/>
    <n v="0"/>
    <n v="2750"/>
  </r>
  <r>
    <d v="2012-07-07T00:00:00"/>
    <s v="Online"/>
    <s v="Y"/>
    <s v="226"/>
    <s v="Coach Education"/>
    <s v="E323"/>
    <s v="Coaches"/>
    <s v="Karl Grainger"/>
    <n v="759.75"/>
    <m/>
    <x v="3"/>
    <x v="1"/>
    <n v="-759.75"/>
    <m/>
    <m/>
    <m/>
    <m/>
    <m/>
    <m/>
    <n v="759.75"/>
    <m/>
    <m/>
    <m/>
    <m/>
    <m/>
    <m/>
    <m/>
    <m/>
    <m/>
    <m/>
    <m/>
    <m/>
    <m/>
    <m/>
    <m/>
    <m/>
    <m/>
    <m/>
    <m/>
    <m/>
    <m/>
    <m/>
    <m/>
    <n v="759.75"/>
    <n v="0"/>
  </r>
  <r>
    <d v="2012-07-06T00:00:00"/>
    <s v="Online"/>
    <m/>
    <m/>
    <s v="Regional activity"/>
    <m/>
    <s v="Annual awards"/>
    <s v="Richard Fuller (Trophies)"/>
    <n v="275"/>
    <m/>
    <x v="3"/>
    <x v="11"/>
    <n v="-275"/>
    <m/>
    <m/>
    <m/>
    <m/>
    <m/>
    <m/>
    <m/>
    <m/>
    <n v="275"/>
    <m/>
    <m/>
    <m/>
    <m/>
    <m/>
    <m/>
    <m/>
    <m/>
    <m/>
    <m/>
    <m/>
    <m/>
    <m/>
    <m/>
    <m/>
    <m/>
    <m/>
    <m/>
    <m/>
    <m/>
    <m/>
    <n v="275"/>
    <n v="0"/>
  </r>
  <r>
    <d v="2012-07-06T00:00:00"/>
    <s v="Online"/>
    <s v="Y"/>
    <s v="225"/>
    <s v="Coach Education"/>
    <m/>
    <s v="Coaches"/>
    <s v="Paradise Triathlon Training"/>
    <n v="250"/>
    <m/>
    <x v="3"/>
    <x v="1"/>
    <n v="-250"/>
    <m/>
    <m/>
    <m/>
    <m/>
    <m/>
    <m/>
    <n v="250"/>
    <m/>
    <m/>
    <m/>
    <m/>
    <m/>
    <m/>
    <m/>
    <m/>
    <m/>
    <m/>
    <m/>
    <m/>
    <m/>
    <m/>
    <m/>
    <m/>
    <m/>
    <m/>
    <m/>
    <m/>
    <m/>
    <m/>
    <m/>
    <n v="250"/>
    <n v="0"/>
  </r>
  <r>
    <d v="2012-07-06T00:00:00"/>
    <s v="Online"/>
    <s v="Y"/>
    <s v="224"/>
    <s v="Coach Education"/>
    <m/>
    <s v="Coaches"/>
    <s v="Bridgit Heath"/>
    <n v="500"/>
    <m/>
    <x v="3"/>
    <x v="1"/>
    <n v="-500"/>
    <m/>
    <m/>
    <m/>
    <m/>
    <m/>
    <m/>
    <n v="500"/>
    <m/>
    <m/>
    <m/>
    <m/>
    <m/>
    <m/>
    <m/>
    <m/>
    <m/>
    <m/>
    <m/>
    <m/>
    <m/>
    <m/>
    <m/>
    <m/>
    <m/>
    <m/>
    <m/>
    <m/>
    <m/>
    <m/>
    <m/>
    <n v="500"/>
    <n v="0"/>
  </r>
  <r>
    <d v="2012-07-06T00:00:00"/>
    <s v="Online"/>
    <s v="Y"/>
    <s v="0222"/>
    <s v="Coach Education"/>
    <m/>
    <s v="Misc expense"/>
    <s v="Abi Hutton (Lifeguarding"/>
    <n v="32.5"/>
    <m/>
    <x v="3"/>
    <x v="1"/>
    <n v="-32.5"/>
    <m/>
    <m/>
    <m/>
    <m/>
    <m/>
    <m/>
    <n v="32.5"/>
    <m/>
    <m/>
    <m/>
    <m/>
    <m/>
    <m/>
    <m/>
    <m/>
    <m/>
    <m/>
    <m/>
    <m/>
    <m/>
    <m/>
    <m/>
    <m/>
    <m/>
    <m/>
    <m/>
    <m/>
    <m/>
    <m/>
    <m/>
    <n v="32.5"/>
    <n v="0"/>
  </r>
  <r>
    <d v="2012-06-28T00:00:00"/>
    <s v="Deposit"/>
    <m/>
    <m/>
    <s v="Regional activity"/>
    <m/>
    <s v="Income"/>
    <m/>
    <m/>
    <n v="183"/>
    <x v="2"/>
    <x v="2"/>
    <n v="183"/>
    <m/>
    <n v="183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183"/>
  </r>
  <r>
    <d v="2012-06-15T00:00:00"/>
    <s v="Deposit"/>
    <m/>
    <m/>
    <s v="Coach Education"/>
    <s v="E323"/>
    <s v="Income"/>
    <s v="British Triathlon"/>
    <m/>
    <n v="275"/>
    <x v="2"/>
    <x v="1"/>
    <n v="275"/>
    <m/>
    <n v="275"/>
    <m/>
    <m/>
    <m/>
    <m/>
    <m/>
    <m/>
    <m/>
    <m/>
    <m/>
    <m/>
    <m/>
    <m/>
    <m/>
    <m/>
    <m/>
    <m/>
    <m/>
    <m/>
    <m/>
    <m/>
    <m/>
    <m/>
    <m/>
    <m/>
    <m/>
    <m/>
    <m/>
    <m/>
    <n v="0"/>
    <n v="275"/>
  </r>
  <r>
    <d v="2012-06-11T00:00:00"/>
    <s v="Deposit"/>
    <m/>
    <m/>
    <s v="Coach Education"/>
    <s v="E323"/>
    <s v="Income"/>
    <s v="Coach Education"/>
    <m/>
    <n v="2062.5"/>
    <x v="2"/>
    <x v="1"/>
    <n v="2062.5"/>
    <m/>
    <m/>
    <m/>
    <m/>
    <m/>
    <m/>
    <m/>
    <n v="2062.5"/>
    <m/>
    <m/>
    <m/>
    <m/>
    <m/>
    <m/>
    <m/>
    <m/>
    <m/>
    <m/>
    <m/>
    <m/>
    <m/>
    <m/>
    <m/>
    <m/>
    <m/>
    <m/>
    <m/>
    <m/>
    <m/>
    <m/>
    <n v="0"/>
    <n v="2062.5"/>
  </r>
  <r>
    <d v="2012-06-08T00:00:00"/>
    <n v="100148"/>
    <s v="Y"/>
    <s v="0223"/>
    <s v="Coach Education"/>
    <s v="E316"/>
    <s v="Coaches"/>
    <s v="KAM Ltd (L2 Feb 12)"/>
    <n v="500"/>
    <m/>
    <x v="3"/>
    <x v="1"/>
    <n v="-500"/>
    <m/>
    <m/>
    <m/>
    <m/>
    <m/>
    <m/>
    <n v="500"/>
    <m/>
    <m/>
    <m/>
    <m/>
    <m/>
    <m/>
    <m/>
    <m/>
    <m/>
    <m/>
    <m/>
    <m/>
    <m/>
    <m/>
    <m/>
    <m/>
    <m/>
    <m/>
    <m/>
    <m/>
    <m/>
    <m/>
    <m/>
    <n v="500"/>
    <n v="0"/>
  </r>
  <r>
    <d v="2012-06-07T00:00:00"/>
    <s v="Online"/>
    <s v="Y"/>
    <s v="0220"/>
    <s v="Coach Education"/>
    <s v="E323"/>
    <s v="Coaches"/>
    <s v="Geraldine Howard (L1 May 12)"/>
    <n v="250"/>
    <m/>
    <x v="3"/>
    <x v="1"/>
    <n v="-250"/>
    <m/>
    <m/>
    <m/>
    <m/>
    <m/>
    <m/>
    <n v="250"/>
    <m/>
    <m/>
    <m/>
    <m/>
    <m/>
    <m/>
    <m/>
    <m/>
    <m/>
    <m/>
    <m/>
    <m/>
    <m/>
    <m/>
    <m/>
    <m/>
    <m/>
    <m/>
    <m/>
    <m/>
    <m/>
    <m/>
    <m/>
    <n v="250"/>
    <n v="0"/>
  </r>
  <r>
    <d v="2012-06-07T00:00:00"/>
    <s v="Online"/>
    <s v="Y"/>
    <s v="0219"/>
    <s v="Coach Education"/>
    <s v="E316"/>
    <s v="Coaches"/>
    <s v="A1 Health &amp; fitness (L2 Feb 12)"/>
    <n v="510"/>
    <m/>
    <x v="3"/>
    <x v="1"/>
    <n v="-510"/>
    <m/>
    <m/>
    <m/>
    <m/>
    <m/>
    <m/>
    <n v="510"/>
    <m/>
    <m/>
    <m/>
    <m/>
    <m/>
    <m/>
    <m/>
    <m/>
    <m/>
    <m/>
    <m/>
    <m/>
    <m/>
    <m/>
    <m/>
    <m/>
    <m/>
    <m/>
    <m/>
    <m/>
    <m/>
    <m/>
    <m/>
    <n v="510"/>
    <n v="0"/>
  </r>
  <r>
    <d v="2012-06-07T00:00:00"/>
    <s v="Online"/>
    <s v="Y"/>
    <s v="0218"/>
    <s v="Coach Education"/>
    <m/>
    <s v="Royalties"/>
    <s v="British Triathlon"/>
    <n v="560"/>
    <m/>
    <x v="3"/>
    <x v="1"/>
    <n v="-560"/>
    <m/>
    <m/>
    <m/>
    <m/>
    <m/>
    <m/>
    <n v="560"/>
    <m/>
    <m/>
    <m/>
    <m/>
    <m/>
    <m/>
    <m/>
    <m/>
    <m/>
    <m/>
    <m/>
    <m/>
    <m/>
    <m/>
    <m/>
    <m/>
    <m/>
    <m/>
    <m/>
    <m/>
    <m/>
    <m/>
    <m/>
    <n v="560"/>
    <n v="0"/>
  </r>
  <r>
    <d v="2012-06-07T00:00:00"/>
    <s v="Online"/>
    <s v="Y"/>
    <s v="0213"/>
    <s v="Coach Education"/>
    <m/>
    <s v="Coaches"/>
    <s v="R Lee (L1 Nov 11)"/>
    <n v="750"/>
    <m/>
    <x v="3"/>
    <x v="1"/>
    <n v="-750"/>
    <m/>
    <m/>
    <m/>
    <m/>
    <m/>
    <m/>
    <n v="750"/>
    <m/>
    <m/>
    <m/>
    <m/>
    <m/>
    <m/>
    <m/>
    <m/>
    <m/>
    <m/>
    <m/>
    <m/>
    <m/>
    <m/>
    <m/>
    <m/>
    <m/>
    <m/>
    <m/>
    <m/>
    <m/>
    <m/>
    <m/>
    <n v="750"/>
    <n v="0"/>
  </r>
  <r>
    <d v="2012-06-07T00:00:00"/>
    <s v="Online"/>
    <s v="Y"/>
    <s v="0217"/>
    <s v="Coach Education"/>
    <m/>
    <s v="Coaches"/>
    <s v="V Ulfik (L2 Feb/Mar 12)"/>
    <n v="500"/>
    <m/>
    <x v="3"/>
    <x v="1"/>
    <n v="-500"/>
    <m/>
    <m/>
    <m/>
    <m/>
    <m/>
    <m/>
    <n v="500"/>
    <m/>
    <m/>
    <m/>
    <m/>
    <m/>
    <m/>
    <m/>
    <m/>
    <m/>
    <m/>
    <m/>
    <m/>
    <m/>
    <m/>
    <m/>
    <m/>
    <m/>
    <m/>
    <m/>
    <m/>
    <m/>
    <m/>
    <m/>
    <n v="500"/>
    <n v="0"/>
  </r>
  <r>
    <d v="2012-05-10T00:00:00"/>
    <s v="Deposit"/>
    <m/>
    <m/>
    <s v="Coach Education"/>
    <s v="E316"/>
    <s v="Income"/>
    <s v="British Triathlon"/>
    <m/>
    <n v="2475"/>
    <x v="2"/>
    <x v="1"/>
    <n v="2475"/>
    <m/>
    <m/>
    <m/>
    <m/>
    <m/>
    <m/>
    <m/>
    <n v="2475"/>
    <m/>
    <m/>
    <m/>
    <m/>
    <m/>
    <m/>
    <m/>
    <m/>
    <m/>
    <m/>
    <m/>
    <m/>
    <m/>
    <m/>
    <m/>
    <m/>
    <m/>
    <m/>
    <m/>
    <m/>
    <m/>
    <m/>
    <n v="0"/>
    <n v="2475"/>
  </r>
  <r>
    <d v="2012-05-10T00:00:00"/>
    <s v="Deposit"/>
    <m/>
    <m/>
    <s v="Coach Education"/>
    <s v="LTO"/>
    <s v="Income"/>
    <s v="British Triathlon"/>
    <m/>
    <n v="90"/>
    <x v="2"/>
    <x v="1"/>
    <n v="90"/>
    <m/>
    <m/>
    <m/>
    <m/>
    <m/>
    <m/>
    <m/>
    <n v="90"/>
    <m/>
    <m/>
    <m/>
    <m/>
    <m/>
    <m/>
    <m/>
    <m/>
    <m/>
    <m/>
    <m/>
    <m/>
    <m/>
    <m/>
    <m/>
    <m/>
    <m/>
    <m/>
    <m/>
    <m/>
    <m/>
    <m/>
    <n v="0"/>
    <n v="90"/>
  </r>
  <r>
    <d v="2012-04-27T00:00:00"/>
    <s v="Deposit"/>
    <m/>
    <m/>
    <s v="Regional activity"/>
    <m/>
    <s v="Annual awards"/>
    <s v="NiceT"/>
    <m/>
    <n v="100"/>
    <x v="2"/>
    <x v="4"/>
    <n v="100"/>
    <m/>
    <m/>
    <m/>
    <m/>
    <m/>
    <m/>
    <m/>
    <m/>
    <m/>
    <m/>
    <m/>
    <m/>
    <m/>
    <m/>
    <m/>
    <m/>
    <m/>
    <m/>
    <m/>
    <m/>
    <m/>
    <m/>
    <m/>
    <m/>
    <m/>
    <m/>
    <m/>
    <m/>
    <m/>
    <n v="100"/>
    <n v="0"/>
    <n v="100"/>
  </r>
  <r>
    <d v="2012-04-13T00:00:00"/>
    <s v="Online"/>
    <s v="Y"/>
    <s v="0216"/>
    <s v="Coach Education"/>
    <s v="E316"/>
    <s v="Coaches"/>
    <s v="Geraldine Howard (L2 Feb 12)"/>
    <n v="551.04999999999995"/>
    <m/>
    <x v="3"/>
    <x v="1"/>
    <n v="-551.04999999999995"/>
    <m/>
    <m/>
    <m/>
    <m/>
    <m/>
    <m/>
    <n v="551.04999999999995"/>
    <m/>
    <m/>
    <m/>
    <m/>
    <m/>
    <m/>
    <m/>
    <m/>
    <m/>
    <m/>
    <m/>
    <m/>
    <m/>
    <m/>
    <m/>
    <m/>
    <m/>
    <m/>
    <m/>
    <m/>
    <m/>
    <m/>
    <m/>
    <n v="551.04999999999995"/>
    <n v="0"/>
  </r>
  <r>
    <d v="2012-04-13T00:00:00"/>
    <s v="Online"/>
    <s v="Y"/>
    <s v="0215"/>
    <s v="Coach Education"/>
    <s v="E316"/>
    <s v="Coaches"/>
    <s v="S Edwards Coaching (L2 Mar 12)"/>
    <n v="500"/>
    <m/>
    <x v="3"/>
    <x v="1"/>
    <n v="-500"/>
    <m/>
    <m/>
    <m/>
    <m/>
    <m/>
    <m/>
    <n v="500"/>
    <m/>
    <m/>
    <m/>
    <m/>
    <m/>
    <m/>
    <m/>
    <m/>
    <m/>
    <m/>
    <m/>
    <m/>
    <m/>
    <m/>
    <m/>
    <m/>
    <m/>
    <m/>
    <m/>
    <m/>
    <m/>
    <m/>
    <m/>
    <n v="500"/>
    <n v="0"/>
  </r>
  <r>
    <d v="2012-04-13T00:00:00"/>
    <s v="Online"/>
    <s v="Y"/>
    <s v="0214"/>
    <s v="Coach Education"/>
    <s v="LTO"/>
    <s v="Coaches"/>
    <s v="Jonathan Davies - LTO course expenses"/>
    <n v="40"/>
    <m/>
    <x v="3"/>
    <x v="1"/>
    <n v="-40"/>
    <n v="40"/>
    <m/>
    <m/>
    <m/>
    <m/>
    <m/>
    <m/>
    <m/>
    <m/>
    <m/>
    <m/>
    <m/>
    <m/>
    <m/>
    <m/>
    <m/>
    <m/>
    <m/>
    <m/>
    <m/>
    <m/>
    <m/>
    <m/>
    <m/>
    <m/>
    <m/>
    <m/>
    <m/>
    <m/>
    <m/>
    <n v="40"/>
    <n v="0"/>
  </r>
  <r>
    <d v="2012-04-13T00:00:00"/>
    <s v="Online"/>
    <s v="Y"/>
    <s v="0212"/>
    <s v="Coach Education"/>
    <s v="E316"/>
    <s v="Royalties"/>
    <s v="British Triathlon"/>
    <n v="640"/>
    <m/>
    <x v="3"/>
    <x v="1"/>
    <n v="-640"/>
    <m/>
    <m/>
    <m/>
    <m/>
    <m/>
    <m/>
    <n v="640"/>
    <m/>
    <m/>
    <m/>
    <m/>
    <m/>
    <m/>
    <m/>
    <m/>
    <m/>
    <m/>
    <m/>
    <m/>
    <m/>
    <m/>
    <m/>
    <m/>
    <m/>
    <m/>
    <m/>
    <m/>
    <m/>
    <m/>
    <m/>
    <n v="640"/>
    <n v="0"/>
  </r>
  <r>
    <d v="2012-04-12T00:00:00"/>
    <s v="Deposit"/>
    <m/>
    <m/>
    <s v="Regional activity"/>
    <m/>
    <s v="Annual awards"/>
    <s v="Dunmow Tri"/>
    <m/>
    <n v="50"/>
    <x v="2"/>
    <x v="4"/>
    <n v="50"/>
    <m/>
    <m/>
    <m/>
    <m/>
    <m/>
    <m/>
    <m/>
    <m/>
    <m/>
    <m/>
    <m/>
    <m/>
    <m/>
    <m/>
    <m/>
    <m/>
    <m/>
    <m/>
    <m/>
    <m/>
    <m/>
    <m/>
    <m/>
    <m/>
    <m/>
    <m/>
    <m/>
    <m/>
    <m/>
    <n v="50"/>
    <n v="0"/>
    <n v="50"/>
  </r>
  <r>
    <d v="2012-04-08T00:00:00"/>
    <s v="Deposit"/>
    <m/>
    <m/>
    <s v="Regional activity"/>
    <m/>
    <s v="Annual awards"/>
    <s v="Fambridge League"/>
    <m/>
    <n v="50"/>
    <x v="2"/>
    <x v="4"/>
    <n v="50"/>
    <m/>
    <m/>
    <m/>
    <m/>
    <m/>
    <m/>
    <m/>
    <m/>
    <m/>
    <m/>
    <m/>
    <m/>
    <m/>
    <m/>
    <m/>
    <m/>
    <m/>
    <m/>
    <m/>
    <m/>
    <m/>
    <m/>
    <m/>
    <m/>
    <m/>
    <m/>
    <m/>
    <m/>
    <m/>
    <n v="50"/>
    <n v="0"/>
    <n v="50"/>
  </r>
  <r>
    <d v="2012-04-06T00:00:00"/>
    <s v="Deposit"/>
    <m/>
    <m/>
    <s v="Regional activity"/>
    <m/>
    <s v="Annual awards"/>
    <s v="Monster Racing"/>
    <m/>
    <n v="50"/>
    <x v="2"/>
    <x v="4"/>
    <n v="50"/>
    <m/>
    <m/>
    <m/>
    <m/>
    <m/>
    <m/>
    <m/>
    <m/>
    <m/>
    <m/>
    <m/>
    <m/>
    <m/>
    <m/>
    <m/>
    <m/>
    <m/>
    <m/>
    <m/>
    <m/>
    <m/>
    <m/>
    <m/>
    <m/>
    <m/>
    <m/>
    <m/>
    <m/>
    <m/>
    <n v="50"/>
    <n v="0"/>
    <n v="50"/>
  </r>
  <r>
    <d v="2012-04-03T00:00:00"/>
    <s v="Deposit"/>
    <m/>
    <m/>
    <s v="Regional activity"/>
    <m/>
    <s v="Annual awards"/>
    <s v="Deposit"/>
    <m/>
    <n v="50"/>
    <x v="2"/>
    <x v="4"/>
    <n v="50"/>
    <m/>
    <m/>
    <m/>
    <m/>
    <m/>
    <m/>
    <m/>
    <m/>
    <m/>
    <m/>
    <m/>
    <m/>
    <m/>
    <m/>
    <m/>
    <m/>
    <m/>
    <m/>
    <m/>
    <m/>
    <m/>
    <m/>
    <m/>
    <m/>
    <m/>
    <m/>
    <m/>
    <m/>
    <m/>
    <n v="50"/>
    <n v="0"/>
    <n v="5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3.xml"/></Relationships>
</file>

<file path=xl/pivotTables/_rels/pivotTable3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3" cacheId="8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 rowHeaderCaption="Course and category" colHeaderCaption="Transaction">
  <location ref="M4:P79" firstHeaderRow="1" firstDataRow="2" firstDataCol="1" rowPageCount="1" colPageCount="1"/>
  <pivotFields count="9">
    <pivotField axis="axisPage" subtotalTop="0" showAll="0">
      <items count="14">
        <item x="3"/>
        <item x="1"/>
        <item m="1" x="5"/>
        <item m="1" x="10"/>
        <item m="1" x="11"/>
        <item m="1" x="7"/>
        <item m="1" x="4"/>
        <item m="1" x="9"/>
        <item x="2"/>
        <item m="1" x="8"/>
        <item m="1" x="12"/>
        <item m="1" x="6"/>
        <item x="0"/>
        <item t="default"/>
      </items>
    </pivotField>
    <pivotField axis="axisRow" subtotalTop="0" showAll="0">
      <items count="38">
        <item m="1" x="30"/>
        <item x="0"/>
        <item m="1" x="35"/>
        <item m="1" x="21"/>
        <item m="1" x="31"/>
        <item m="1" x="24"/>
        <item m="1" x="32"/>
        <item m="1" x="28"/>
        <item m="1" x="26"/>
        <item m="1" x="29"/>
        <item m="1" x="20"/>
        <item m="1" x="23"/>
        <item m="1" x="34"/>
        <item m="1" x="15"/>
        <item m="1" x="27"/>
        <item m="1" x="36"/>
        <item m="1" x="19"/>
        <item m="1" x="22"/>
        <item m="1" x="16"/>
        <item m="1" x="18"/>
        <item m="1" x="17"/>
        <item x="13"/>
        <item m="1" x="33"/>
        <item m="1" x="25"/>
        <item x="12"/>
        <item x="5"/>
        <item x="14"/>
        <item x="9"/>
        <item x="11"/>
        <item x="10"/>
        <item x="8"/>
        <item x="3"/>
        <item x="6"/>
        <item x="7"/>
        <item x="4"/>
        <item x="1"/>
        <item x="2"/>
        <item t="default"/>
      </items>
    </pivotField>
    <pivotField axis="axisRow" subtotalTop="0" showAll="0">
      <items count="45">
        <item m="1" x="23"/>
        <item m="1" x="39"/>
        <item x="12"/>
        <item x="6"/>
        <item x="11"/>
        <item x="18"/>
        <item x="19"/>
        <item m="1" x="27"/>
        <item m="1" x="26"/>
        <item m="1" x="32"/>
        <item m="1" x="28"/>
        <item x="3"/>
        <item m="1" x="22"/>
        <item x="8"/>
        <item m="1" x="40"/>
        <item m="1" x="34"/>
        <item x="1"/>
        <item x="16"/>
        <item x="15"/>
        <item m="1" x="25"/>
        <item m="1" x="21"/>
        <item x="17"/>
        <item x="5"/>
        <item m="1" x="38"/>
        <item m="1" x="42"/>
        <item m="1" x="29"/>
        <item m="1" x="37"/>
        <item m="1" x="30"/>
        <item m="1" x="36"/>
        <item m="1" x="35"/>
        <item x="10"/>
        <item m="1" x="43"/>
        <item m="1" x="31"/>
        <item x="4"/>
        <item x="14"/>
        <item m="1" x="24"/>
        <item x="7"/>
        <item x="13"/>
        <item x="0"/>
        <item m="1" x="33"/>
        <item m="1" x="41"/>
        <item m="1" x="20"/>
        <item x="2"/>
        <item x="9"/>
        <item t="default"/>
      </items>
    </pivotField>
    <pivotField subtotalTop="0" showAll="0"/>
    <pivotField subtotalTop="0" showAll="0"/>
    <pivotField subtotalTop="0" showAll="0"/>
    <pivotField axis="axisCol" subtotalTop="0" showAll="0">
      <items count="5">
        <item x="1"/>
        <item n="Income" x="2"/>
        <item n="Expenditure" x="3"/>
        <item x="0"/>
        <item t="default"/>
      </items>
    </pivotField>
    <pivotField subtotalTop="0" showAll="0"/>
    <pivotField dataField="1" subtotalTop="0" showAll="0"/>
  </pivotFields>
  <rowFields count="2">
    <field x="1"/>
    <field x="2"/>
  </rowFields>
  <rowItems count="74">
    <i>
      <x v="1"/>
    </i>
    <i r="1">
      <x v="6"/>
    </i>
    <i r="1">
      <x v="11"/>
    </i>
    <i r="1">
      <x v="16"/>
    </i>
    <i r="1">
      <x v="21"/>
    </i>
    <i r="1">
      <x v="30"/>
    </i>
    <i r="1">
      <x v="42"/>
    </i>
    <i r="1">
      <x v="43"/>
    </i>
    <i t="default">
      <x v="1"/>
    </i>
    <i>
      <x v="21"/>
    </i>
    <i r="1">
      <x v="4"/>
    </i>
    <i r="1">
      <x v="11"/>
    </i>
    <i r="1">
      <x v="16"/>
    </i>
    <i r="1">
      <x v="30"/>
    </i>
    <i r="1">
      <x v="36"/>
    </i>
    <i t="default">
      <x v="21"/>
    </i>
    <i>
      <x v="24"/>
    </i>
    <i r="1">
      <x v="11"/>
    </i>
    <i r="1">
      <x v="16"/>
    </i>
    <i r="1">
      <x v="36"/>
    </i>
    <i t="default">
      <x v="24"/>
    </i>
    <i>
      <x v="25"/>
    </i>
    <i r="1">
      <x v="11"/>
    </i>
    <i r="1">
      <x v="16"/>
    </i>
    <i r="1">
      <x v="33"/>
    </i>
    <i t="default">
      <x v="25"/>
    </i>
    <i>
      <x v="26"/>
    </i>
    <i r="1">
      <x v="11"/>
    </i>
    <i r="1">
      <x v="16"/>
    </i>
    <i t="default">
      <x v="26"/>
    </i>
    <i>
      <x v="27"/>
    </i>
    <i r="1">
      <x v="11"/>
    </i>
    <i r="1">
      <x v="16"/>
    </i>
    <i r="1">
      <x v="30"/>
    </i>
    <i r="1">
      <x v="33"/>
    </i>
    <i t="default">
      <x v="27"/>
    </i>
    <i>
      <x v="28"/>
    </i>
    <i r="1">
      <x v="11"/>
    </i>
    <i r="1">
      <x v="16"/>
    </i>
    <i r="1">
      <x v="30"/>
    </i>
    <i r="1">
      <x v="33"/>
    </i>
    <i r="1">
      <x v="36"/>
    </i>
    <i t="default">
      <x v="28"/>
    </i>
    <i>
      <x v="29"/>
    </i>
    <i r="1">
      <x v="4"/>
    </i>
    <i r="1">
      <x v="11"/>
    </i>
    <i r="1">
      <x v="16"/>
    </i>
    <i r="1">
      <x v="33"/>
    </i>
    <i t="default">
      <x v="29"/>
    </i>
    <i>
      <x v="30"/>
    </i>
    <i r="1">
      <x v="16"/>
    </i>
    <i r="1">
      <x v="33"/>
    </i>
    <i t="default">
      <x v="30"/>
    </i>
    <i>
      <x v="31"/>
    </i>
    <i r="1">
      <x v="11"/>
    </i>
    <i t="default">
      <x v="31"/>
    </i>
    <i>
      <x v="32"/>
    </i>
    <i r="1">
      <x v="11"/>
    </i>
    <i t="default">
      <x v="32"/>
    </i>
    <i>
      <x v="33"/>
    </i>
    <i r="1">
      <x v="11"/>
    </i>
    <i t="default">
      <x v="33"/>
    </i>
    <i>
      <x v="34"/>
    </i>
    <i r="1">
      <x v="11"/>
    </i>
    <i r="1">
      <x v="16"/>
    </i>
    <i t="default">
      <x v="34"/>
    </i>
    <i>
      <x v="35"/>
    </i>
    <i r="1">
      <x v="16"/>
    </i>
    <i r="1">
      <x v="36"/>
    </i>
    <i t="default">
      <x v="35"/>
    </i>
    <i>
      <x v="36"/>
    </i>
    <i r="1">
      <x v="11"/>
    </i>
    <i t="default">
      <x v="36"/>
    </i>
    <i t="grand">
      <x/>
    </i>
  </rowItems>
  <colFields count="1">
    <field x="6"/>
  </colFields>
  <colItems count="3">
    <i>
      <x v="1"/>
    </i>
    <i>
      <x v="2"/>
    </i>
    <i t="grand">
      <x/>
    </i>
  </colItems>
  <pageFields count="1">
    <pageField fld="0" item="1" hier="-1"/>
  </pageFields>
  <dataFields count="1">
    <dataField name=" " fld="8" baseField="0" baseItem="0" numFmtId="43"/>
  </dataFields>
  <formats count="2">
    <format dxfId="21">
      <pivotArea type="all" dataOnly="0" outline="0" fieldPosition="0"/>
    </format>
    <format dxfId="20">
      <pivotArea outline="0" collapsedLevelsAreSubtotals="1" fieldPosition="0"/>
    </format>
  </formats>
  <pivotTableStyleInfo name="PivotStyleLight15"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2" cacheId="17" dataOnRows="1" applyNumberFormats="0" applyBorderFormats="0" applyFontFormats="0" applyPatternFormats="0" applyAlignmentFormats="0" applyWidthHeightFormats="1" dataCaption="Data" updatedVersion="3" minRefreshableVersion="3" showMemberPropertyTips="0" useAutoFormatting="1" colGrandTotals="0" itemPrintTitles="1" createdVersion="3" indent="0" compact="0" compactData="0" gridDropZones="1">
  <location ref="H4:J18" firstHeaderRow="1" firstDataRow="2" firstDataCol="1"/>
  <pivotFields count="45"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5">
        <item h="1" x="1"/>
        <item x="2"/>
        <item x="3"/>
        <item h="1" x="0"/>
        <item t="default"/>
      </items>
    </pivotField>
    <pivotField axis="axisRow" compact="0" outline="0" subtotalTop="0" showAll="0" includeNewItemsInFilter="1">
      <items count="13">
        <item x="4"/>
        <item x="11"/>
        <item x="1"/>
        <item x="9"/>
        <item x="2"/>
        <item x="0"/>
        <item x="10"/>
        <item x="6"/>
        <item x="7"/>
        <item x="8"/>
        <item x="5"/>
        <item x="3"/>
        <item t="default"/>
      </items>
    </pivotField>
    <pivotField dataField="1"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compact="0" outline="0" showAll="0" defaultSubtotal="0"/>
    <pivotField compact="0" outline="0" showAll="0" defaultSubtotal="0"/>
  </pivotFields>
  <rowFields count="1">
    <field x="11"/>
  </rowFields>
  <rowItems count="13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 t="grand">
      <x/>
    </i>
  </rowItems>
  <colFields count="1">
    <field x="10"/>
  </colFields>
  <colItems count="2">
    <i>
      <x v="1"/>
    </i>
    <i>
      <x v="2"/>
    </i>
  </colItems>
  <dataFields count="1">
    <dataField name="Sum of Amount" fld="12" baseField="0" baseItem="0" numFmtId="43"/>
  </dataFields>
  <formats count="3">
    <format dxfId="24">
      <pivotArea type="all" dataOnly="0" outline="0" fieldPosition="0"/>
    </format>
    <format dxfId="23">
      <pivotArea field="10" grandRow="1" outline="0" axis="axisCol" fieldPosition="0">
        <references count="1">
          <reference field="10" count="1" selected="0">
            <x v="1"/>
          </reference>
        </references>
      </pivotArea>
    </format>
    <format dxfId="22">
      <pivotArea outline="0" collapsedLevelsAreSubtotals="1" fieldPosition="0"/>
    </format>
  </formats>
  <pivotTableStyleInfo name="PivotStyleLight22"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1" cacheId="13" dataOnRows="1" applyNumberFormats="0" applyBorderFormats="0" applyFontFormats="0" applyPatternFormats="0" applyAlignmentFormats="0" applyWidthHeightFormats="1" dataCaption="Data" updatedVersion="3" minRefreshableVersion="3" showMemberPropertyTips="0" useAutoFormatting="1" pageWrap="2" itemPrintTitles="1" createdVersion="3" indent="0" compact="0" compactData="0" gridDropZones="1">
  <location ref="B4:F33" firstHeaderRow="1" firstDataRow="2" firstDataCol="2"/>
  <pivotFields count="9">
    <pivotField axis="axisRow" compact="0" outline="0" subtotalTop="0" showAll="0" includeNewItemsInFilter="1">
      <items count="5">
        <item h="1" x="0"/>
        <item x="1"/>
        <item x="2"/>
        <item x="3"/>
        <item t="default"/>
      </items>
    </pivotField>
    <pivotField compact="0" outline="0" showAll="0" defaultSubtotal="0"/>
    <pivotField axis="axisRow" compact="0" outline="0" subtotalTop="0" showAll="0" includeNewItemsInFilter="1" sortType="ascending">
      <items count="21">
        <item x="12"/>
        <item x="6"/>
        <item x="11"/>
        <item x="18"/>
        <item x="19"/>
        <item x="3"/>
        <item x="9"/>
        <item x="8"/>
        <item x="1"/>
        <item x="16"/>
        <item x="15"/>
        <item x="17"/>
        <item x="5"/>
        <item x="10"/>
        <item x="2"/>
        <item x="4"/>
        <item x="14"/>
        <item x="7"/>
        <item x="13"/>
        <item h="1" x="0"/>
        <item t="default"/>
      </items>
    </pivotField>
    <pivotField compact="0" outline="0" subtotalTop="0" showAll="0" includeNewItemsInFilter="1"/>
    <pivotField compact="0" outline="0" subtotalTop="0" showAll="0" includeNewItemsInFilter="1"/>
    <pivotField compact="0" outline="0" subtotalTop="0" showAll="0" includeNewItemsInFilter="1"/>
    <pivotField axis="axisCol" compact="0" outline="0" subtotalTop="0" showAll="0" includeNewItemsInFilter="1">
      <items count="5">
        <item h="1" x="1"/>
        <item n="Income" x="2"/>
        <item n="Expenditure" x="3"/>
        <item h="1" x="0"/>
        <item t="default"/>
      </items>
    </pivotField>
    <pivotField compact="0" outline="0" subtotalTop="0" showAll="0" includeNewItemsInFilter="1"/>
    <pivotField dataField="1" compact="0" outline="0" subtotalTop="0" showAll="0" includeNewItemsInFilter="1"/>
  </pivotFields>
  <rowFields count="2">
    <field x="0"/>
    <field x="2"/>
  </rowFields>
  <rowItems count="28">
    <i>
      <x v="1"/>
      <x v="2"/>
    </i>
    <i r="1">
      <x v="4"/>
    </i>
    <i r="1">
      <x v="5"/>
    </i>
    <i r="1">
      <x v="6"/>
    </i>
    <i r="1">
      <x v="8"/>
    </i>
    <i r="1">
      <x v="11"/>
    </i>
    <i r="1">
      <x v="13"/>
    </i>
    <i r="1">
      <x v="14"/>
    </i>
    <i r="1">
      <x v="15"/>
    </i>
    <i r="1">
      <x v="17"/>
    </i>
    <i t="default">
      <x v="1"/>
    </i>
    <i>
      <x v="2"/>
      <x/>
    </i>
    <i r="1">
      <x v="1"/>
    </i>
    <i r="1">
      <x v="3"/>
    </i>
    <i r="1">
      <x v="7"/>
    </i>
    <i r="1">
      <x v="8"/>
    </i>
    <i r="1">
      <x v="9"/>
    </i>
    <i r="1">
      <x v="10"/>
    </i>
    <i r="1">
      <x v="12"/>
    </i>
    <i r="1">
      <x v="17"/>
    </i>
    <i r="1">
      <x v="18"/>
    </i>
    <i t="default">
      <x v="2"/>
    </i>
    <i>
      <x v="3"/>
      <x v="3"/>
    </i>
    <i r="1">
      <x v="14"/>
    </i>
    <i r="1">
      <x v="16"/>
    </i>
    <i r="1">
      <x v="17"/>
    </i>
    <i t="default">
      <x v="3"/>
    </i>
    <i t="grand">
      <x/>
    </i>
  </rowItems>
  <colFields count="1">
    <field x="6"/>
  </colFields>
  <colItems count="3">
    <i>
      <x v="1"/>
    </i>
    <i>
      <x v="2"/>
    </i>
    <i t="grand">
      <x/>
    </i>
  </colItems>
  <dataFields count="1">
    <dataField name="Sum of Amount" fld="8" baseField="0" baseItem="0" numFmtId="43"/>
  </dataFields>
  <formats count="3">
    <format dxfId="27">
      <pivotArea outline="0" fieldPosition="0">
        <references count="1">
          <reference field="0" count="0" selected="0"/>
        </references>
      </pivotArea>
    </format>
    <format dxfId="26">
      <pivotArea type="all" dataOnly="0" outline="0" fieldPosition="0"/>
    </format>
    <format dxfId="25">
      <pivotArea outline="0" collapsedLevelsAreSubtotals="1" fieldPosition="0"/>
    </format>
  </formats>
  <pivotTableStyleInfo name="PivotStyleLight8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ivotTable" Target="../pivotTables/pivotTable3.xml"/><Relationship Id="rId2" Type="http://schemas.openxmlformats.org/officeDocument/2006/relationships/pivotTable" Target="../pivotTables/pivotTable2.xml"/><Relationship Id="rId1" Type="http://schemas.openxmlformats.org/officeDocument/2006/relationships/pivotTable" Target="../pivotTables/pivotTable1.xm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41"/>
  <sheetViews>
    <sheetView workbookViewId="0">
      <selection activeCell="B39" sqref="B39"/>
    </sheetView>
  </sheetViews>
  <sheetFormatPr defaultRowHeight="12.75" outlineLevelRow="1"/>
  <cols>
    <col min="1" max="1" width="3.7109375" style="1" customWidth="1"/>
    <col min="2" max="2" width="52" style="1" customWidth="1"/>
    <col min="3" max="3" width="9.7109375" style="1" customWidth="1"/>
    <col min="4" max="4" width="11" style="1" bestFit="1" customWidth="1"/>
    <col min="5" max="9" width="9.7109375" style="1" customWidth="1"/>
    <col min="10" max="16384" width="9.140625" style="1"/>
  </cols>
  <sheetData>
    <row r="1" spans="1:9">
      <c r="A1" s="106" t="s">
        <v>76</v>
      </c>
      <c r="B1" s="106"/>
      <c r="C1" s="106"/>
      <c r="D1" s="106"/>
      <c r="E1" s="106"/>
      <c r="F1" s="106"/>
      <c r="G1" s="106"/>
      <c r="H1" s="106"/>
      <c r="I1" s="106"/>
    </row>
    <row r="2" spans="1:9">
      <c r="A2" s="106" t="str">
        <f>"Committee report as of  "&amp;Report_end_date</f>
        <v>Committee report as of  31 March 2013</v>
      </c>
      <c r="B2" s="106"/>
      <c r="C2" s="106"/>
      <c r="D2" s="106"/>
      <c r="E2" s="106"/>
      <c r="F2" s="106"/>
      <c r="G2" s="106"/>
      <c r="H2" s="106"/>
      <c r="I2" s="106"/>
    </row>
    <row r="3" spans="1:9">
      <c r="A3" s="65">
        <v>39813</v>
      </c>
      <c r="B3" s="64" t="str">
        <f>DAY(A3)&amp;" "&amp;VLOOKUP(MONTH(A3),Months,2)&amp;" "&amp;YEAR(A3)</f>
        <v>31 December 2008</v>
      </c>
    </row>
    <row r="4" spans="1:9" ht="51">
      <c r="B4" s="88" t="str">
        <f>"Trading Statement - 1st April "&amp;Year_value&amp;" to 31st March "&amp;Year_value+1</f>
        <v>Trading Statement - 1st April 2012 to 31st March 2013</v>
      </c>
      <c r="C4" s="70" t="s">
        <v>45</v>
      </c>
      <c r="D4" s="70" t="s">
        <v>86</v>
      </c>
      <c r="E4" s="66" t="s">
        <v>87</v>
      </c>
      <c r="F4" s="70" t="s">
        <v>88</v>
      </c>
      <c r="G4" s="70" t="s">
        <v>116</v>
      </c>
      <c r="H4" s="66" t="s">
        <v>89</v>
      </c>
      <c r="I4" s="66" t="s">
        <v>90</v>
      </c>
    </row>
    <row r="5" spans="1:9">
      <c r="E5" s="7"/>
      <c r="H5" s="2"/>
    </row>
    <row r="6" spans="1:9" outlineLevel="1">
      <c r="A6" s="68" t="s">
        <v>92</v>
      </c>
      <c r="C6" s="3"/>
      <c r="E6" s="3">
        <f t="shared" ref="E6:E13" si="0">SUM(C6:D6)</f>
        <v>0</v>
      </c>
    </row>
    <row r="7" spans="1:9" outlineLevel="1">
      <c r="A7" s="68"/>
      <c r="B7" s="1" t="s">
        <v>125</v>
      </c>
      <c r="C7" s="3">
        <f t="shared" ref="C7:C13" ca="1" si="1">VLOOKUP(B7,lst_Prior_year_values,2,FALSE)</f>
        <v>10908.53</v>
      </c>
      <c r="D7" s="3">
        <f>Re_credit_total-SUM(D8:D13)-SUM(D16:D17)</f>
        <v>9155.4100000000035</v>
      </c>
      <c r="E7" s="3">
        <f t="shared" ca="1" si="0"/>
        <v>20063.940000000002</v>
      </c>
      <c r="F7" s="3">
        <f>Re_debit_total-SUM(F8:F13)-SUM(F16:F17)</f>
        <v>5161.0400000000045</v>
      </c>
      <c r="G7" s="3">
        <f>'Committed Expenditure'!F18</f>
        <v>0</v>
      </c>
      <c r="H7" s="3">
        <f t="shared" ref="H7:H13" si="2">SUM(F7:G7)</f>
        <v>5161.0400000000045</v>
      </c>
      <c r="I7" s="87">
        <f t="shared" ref="I7:I13" ca="1" si="3">E7-H7</f>
        <v>14902.899999999998</v>
      </c>
    </row>
    <row r="8" spans="1:9" outlineLevel="1">
      <c r="A8" s="68"/>
      <c r="B8" s="1" t="s">
        <v>121</v>
      </c>
      <c r="C8" s="3">
        <f t="shared" ca="1" si="1"/>
        <v>12270.24</v>
      </c>
      <c r="D8" s="3">
        <f>Coaching_credit_total</f>
        <v>24520</v>
      </c>
      <c r="E8" s="3">
        <f t="shared" ca="1" si="0"/>
        <v>36790.239999999998</v>
      </c>
      <c r="F8" s="3">
        <f>Coaching_debit_total</f>
        <v>24342.929999999997</v>
      </c>
      <c r="G8" s="3">
        <f>'Committed Expenditure'!F19</f>
        <v>0</v>
      </c>
      <c r="H8" s="3">
        <f t="shared" si="2"/>
        <v>24342.929999999997</v>
      </c>
      <c r="I8" s="87">
        <f t="shared" ca="1" si="3"/>
        <v>12447.310000000001</v>
      </c>
    </row>
    <row r="9" spans="1:9" outlineLevel="1">
      <c r="A9" s="68"/>
      <c r="B9" s="1" t="s">
        <v>124</v>
      </c>
      <c r="C9" s="3">
        <f t="shared" ca="1" si="1"/>
        <v>600</v>
      </c>
      <c r="D9" s="3">
        <f>Club_accreditation_credit_total</f>
        <v>0</v>
      </c>
      <c r="E9" s="3">
        <f t="shared" ca="1" si="0"/>
        <v>600</v>
      </c>
      <c r="F9" s="3">
        <f>Club_accreditation_debit_total</f>
        <v>0</v>
      </c>
      <c r="G9" s="3">
        <f>'Committed Expenditure'!F20</f>
        <v>0</v>
      </c>
      <c r="H9" s="3">
        <f t="shared" si="2"/>
        <v>0</v>
      </c>
      <c r="I9" s="87">
        <f t="shared" ca="1" si="3"/>
        <v>600</v>
      </c>
    </row>
    <row r="10" spans="1:9" outlineLevel="1">
      <c r="A10" s="68"/>
      <c r="B10" s="1" t="s">
        <v>177</v>
      </c>
      <c r="C10" s="3">
        <f t="shared" ca="1" si="1"/>
        <v>2750</v>
      </c>
      <c r="D10" s="3">
        <f>Event_quality_credit</f>
        <v>0</v>
      </c>
      <c r="E10" s="3">
        <f t="shared" ca="1" si="0"/>
        <v>2750</v>
      </c>
      <c r="F10" s="3">
        <f>Event_quality_debit</f>
        <v>0</v>
      </c>
      <c r="G10" s="3">
        <f>'Committed Expenditure'!F29</f>
        <v>1150</v>
      </c>
      <c r="H10" s="3">
        <f t="shared" si="2"/>
        <v>1150</v>
      </c>
      <c r="I10" s="87">
        <f t="shared" ca="1" si="3"/>
        <v>1600</v>
      </c>
    </row>
    <row r="11" spans="1:9" outlineLevel="1">
      <c r="A11" s="68"/>
      <c r="B11" s="1" t="s">
        <v>178</v>
      </c>
      <c r="C11" s="3">
        <f t="shared" ca="1" si="1"/>
        <v>1800</v>
      </c>
      <c r="D11" s="95">
        <f>Officiating_credit_total</f>
        <v>1500</v>
      </c>
      <c r="E11" s="3">
        <f t="shared" ca="1" si="0"/>
        <v>3300</v>
      </c>
      <c r="F11" s="3">
        <f>Officiating_debit_total</f>
        <v>898.2</v>
      </c>
      <c r="G11" s="3"/>
      <c r="H11" s="3">
        <f t="shared" si="2"/>
        <v>898.2</v>
      </c>
      <c r="I11" s="87">
        <f t="shared" ca="1" si="3"/>
        <v>2401.8000000000002</v>
      </c>
    </row>
    <row r="12" spans="1:9" outlineLevel="1">
      <c r="A12" s="68"/>
      <c r="B12" s="1" t="s">
        <v>179</v>
      </c>
      <c r="C12" s="3">
        <f t="shared" ca="1" si="1"/>
        <v>250</v>
      </c>
      <c r="D12" s="95">
        <f>Qual_vol_credit_total</f>
        <v>0</v>
      </c>
      <c r="E12" s="3">
        <f t="shared" ca="1" si="0"/>
        <v>250</v>
      </c>
      <c r="F12" s="3">
        <f>HU_WFD_debit_total</f>
        <v>0</v>
      </c>
      <c r="G12" s="3"/>
      <c r="H12" s="3">
        <f t="shared" ref="H12" si="4">SUM(F12:G12)</f>
        <v>0</v>
      </c>
      <c r="I12" s="87">
        <f t="shared" ref="I12" ca="1" si="5">E12-H12</f>
        <v>250</v>
      </c>
    </row>
    <row r="13" spans="1:9" outlineLevel="1">
      <c r="A13" s="68"/>
      <c r="B13" s="1" t="s">
        <v>158</v>
      </c>
      <c r="C13" s="3">
        <f t="shared" ca="1" si="1"/>
        <v>555</v>
      </c>
      <c r="D13" s="3">
        <f>Club_quality_credit</f>
        <v>0</v>
      </c>
      <c r="E13" s="3">
        <f t="shared" ca="1" si="0"/>
        <v>555</v>
      </c>
      <c r="F13" s="3">
        <f>Club_quality_debit</f>
        <v>0</v>
      </c>
      <c r="G13" s="3"/>
      <c r="H13" s="3">
        <f t="shared" si="2"/>
        <v>0</v>
      </c>
      <c r="I13" s="87">
        <f t="shared" ca="1" si="3"/>
        <v>555</v>
      </c>
    </row>
    <row r="14" spans="1:9" s="71" customFormat="1" ht="12">
      <c r="A14" s="76"/>
      <c r="B14" s="79" t="s">
        <v>126</v>
      </c>
      <c r="C14" s="80">
        <f ca="1">SUBTOTAL(9,C7:C13)</f>
        <v>29133.77</v>
      </c>
      <c r="D14" s="80">
        <f t="shared" ref="D14:I14" si="6">SUBTOTAL(9,D7:D13)</f>
        <v>35175.410000000003</v>
      </c>
      <c r="E14" s="80">
        <f t="shared" ca="1" si="6"/>
        <v>64309.18</v>
      </c>
      <c r="F14" s="80">
        <f t="shared" si="6"/>
        <v>30402.170000000002</v>
      </c>
      <c r="G14" s="80">
        <f t="shared" si="6"/>
        <v>1150</v>
      </c>
      <c r="H14" s="80">
        <f t="shared" si="6"/>
        <v>31552.170000000002</v>
      </c>
      <c r="I14" s="80">
        <f t="shared" ca="1" si="6"/>
        <v>32757.01</v>
      </c>
    </row>
    <row r="15" spans="1:9" outlineLevel="1">
      <c r="A15" s="2" t="s">
        <v>73</v>
      </c>
      <c r="C15" s="2"/>
    </row>
    <row r="16" spans="1:9" outlineLevel="1">
      <c r="B16" s="71" t="s">
        <v>83</v>
      </c>
      <c r="C16" s="3">
        <f ca="1">VLOOKUP(B16,lst_Prior_year_values,2,FALSE)</f>
        <v>2096.25</v>
      </c>
      <c r="D16" s="3">
        <f>HU_DO_credit_total</f>
        <v>0</v>
      </c>
      <c r="E16" s="3">
        <f ca="1">SUM(C16:D16)</f>
        <v>2096.25</v>
      </c>
      <c r="F16" s="3">
        <f>HU_DO_debit_total</f>
        <v>0</v>
      </c>
      <c r="G16" s="3">
        <f>'Committed Expenditure'!F23</f>
        <v>0</v>
      </c>
      <c r="H16" s="3">
        <f>SUM(F16:G16)</f>
        <v>0</v>
      </c>
      <c r="I16" s="87">
        <f ca="1">E16-H16</f>
        <v>2096.25</v>
      </c>
    </row>
    <row r="17" spans="1:9" outlineLevel="1">
      <c r="B17" s="71" t="s">
        <v>78</v>
      </c>
      <c r="C17" s="3">
        <f ca="1">VLOOKUP(B17,lst_Prior_year_values,2,FALSE)</f>
        <v>1379.49</v>
      </c>
      <c r="D17" s="3">
        <f>BTF_AG_credit_total</f>
        <v>1500</v>
      </c>
      <c r="E17" s="3">
        <f ca="1">SUM(C17:D17)</f>
        <v>2879.49</v>
      </c>
      <c r="F17" s="3">
        <f>BTF_AG_debit_total</f>
        <v>1903</v>
      </c>
      <c r="G17" s="3">
        <f>'Committed Expenditure'!F24</f>
        <v>0</v>
      </c>
      <c r="H17" s="3">
        <f>SUM(F17:G17)</f>
        <v>1903</v>
      </c>
      <c r="I17" s="87">
        <f ca="1">E17-H17</f>
        <v>976.48999999999978</v>
      </c>
    </row>
    <row r="18" spans="1:9" s="71" customFormat="1" ht="12">
      <c r="B18" s="79" t="s">
        <v>127</v>
      </c>
      <c r="C18" s="80">
        <f t="shared" ref="C18:I18" ca="1" si="7">SUBTOTAL(9,C16:C17)</f>
        <v>3475.74</v>
      </c>
      <c r="D18" s="80">
        <f t="shared" si="7"/>
        <v>1500</v>
      </c>
      <c r="E18" s="80">
        <f t="shared" ca="1" si="7"/>
        <v>4975.74</v>
      </c>
      <c r="F18" s="80">
        <f t="shared" si="7"/>
        <v>1903</v>
      </c>
      <c r="G18" s="80">
        <f t="shared" si="7"/>
        <v>0</v>
      </c>
      <c r="H18" s="80">
        <f t="shared" si="7"/>
        <v>1903</v>
      </c>
      <c r="I18" s="80">
        <f t="shared" ca="1" si="7"/>
        <v>3072.74</v>
      </c>
    </row>
    <row r="19" spans="1:9">
      <c r="B19" s="21" t="s">
        <v>5</v>
      </c>
      <c r="C19" s="75">
        <f ca="1">SUBTOTAL(9,C7:C18)</f>
        <v>32609.510000000002</v>
      </c>
      <c r="D19" s="75">
        <f t="shared" ref="D19:I19" si="8">SUBTOTAL(9,D7:D18)</f>
        <v>36675.410000000003</v>
      </c>
      <c r="E19" s="75">
        <f t="shared" ca="1" si="8"/>
        <v>69284.92</v>
      </c>
      <c r="F19" s="75">
        <f t="shared" si="8"/>
        <v>32305.170000000002</v>
      </c>
      <c r="G19" s="75">
        <f t="shared" si="8"/>
        <v>1150</v>
      </c>
      <c r="H19" s="75">
        <f t="shared" si="8"/>
        <v>33455.17</v>
      </c>
      <c r="I19" s="75">
        <f t="shared" ca="1" si="8"/>
        <v>35829.749999999993</v>
      </c>
    </row>
    <row r="20" spans="1:9">
      <c r="D20" s="49"/>
    </row>
    <row r="22" spans="1:9">
      <c r="A22" s="58" t="str">
        <f>"Cash Balances at "&amp;Report_end_date</f>
        <v>Cash Balances at 31 March 2013</v>
      </c>
    </row>
    <row r="23" spans="1:9">
      <c r="B23" s="1" t="s">
        <v>109</v>
      </c>
      <c r="D23" s="49">
        <f>HSBC_closing_balance</f>
        <v>11951.560000000005</v>
      </c>
    </row>
    <row r="24" spans="1:9">
      <c r="B24" s="1" t="s">
        <v>228</v>
      </c>
      <c r="D24" s="49">
        <f ca="1">HSBC_savings_closing_balance</f>
        <v>25003.41</v>
      </c>
    </row>
    <row r="25" spans="1:9">
      <c r="B25" s="1" t="s">
        <v>38</v>
      </c>
      <c r="D25" s="49">
        <f ca="1">Closing_cash</f>
        <v>24.98</v>
      </c>
    </row>
    <row r="26" spans="1:9">
      <c r="D26" s="91">
        <f ca="1">SUM(D23:D25)</f>
        <v>36979.950000000004</v>
      </c>
      <c r="I26" s="67">
        <f ca="1">D26-I19-G19</f>
        <v>0.20000000001164153</v>
      </c>
    </row>
    <row r="27" spans="1:9">
      <c r="I27" s="3"/>
    </row>
    <row r="28" spans="1:9">
      <c r="B28" s="1" t="s">
        <v>37</v>
      </c>
      <c r="D28" s="67">
        <f ca="1">SUM(D23:D25)-'Sources&amp;Uses'!D8</f>
        <v>4370.2400000000016</v>
      </c>
    </row>
    <row r="29" spans="1:9">
      <c r="E29" s="49"/>
    </row>
    <row r="31" spans="1:9">
      <c r="D31" s="7" t="s">
        <v>27</v>
      </c>
      <c r="E31" s="7" t="s">
        <v>28</v>
      </c>
      <c r="F31" s="7" t="s">
        <v>6</v>
      </c>
    </row>
    <row r="33" spans="3:6">
      <c r="C33" s="72" t="s">
        <v>102</v>
      </c>
      <c r="D33" s="49">
        <f>IRC_credit_total</f>
        <v>0</v>
      </c>
      <c r="E33" s="49">
        <f>IRC_debit_total</f>
        <v>1185.75</v>
      </c>
      <c r="F33" s="49">
        <f>D33-E33</f>
        <v>-1185.75</v>
      </c>
    </row>
    <row r="34" spans="3:6">
      <c r="C34" s="72" t="s">
        <v>104</v>
      </c>
      <c r="D34" s="49">
        <f>Schools_aqua_credit_total</f>
        <v>0</v>
      </c>
      <c r="E34" s="49">
        <f>Schools_aqua_debit_total</f>
        <v>0</v>
      </c>
      <c r="F34" s="49">
        <f>D34-E34</f>
        <v>0</v>
      </c>
    </row>
    <row r="35" spans="3:6">
      <c r="C35" s="72" t="s">
        <v>121</v>
      </c>
      <c r="D35" s="49">
        <f>Coaching_credit_total</f>
        <v>24520</v>
      </c>
      <c r="E35" s="49">
        <f>Coaching_debit_total</f>
        <v>24342.929999999997</v>
      </c>
      <c r="F35" s="49">
        <f>D35-E35</f>
        <v>177.07000000000335</v>
      </c>
    </row>
    <row r="37" spans="3:6">
      <c r="D37" s="49"/>
    </row>
    <row r="39" spans="3:6">
      <c r="D39" s="49"/>
    </row>
    <row r="40" spans="3:6">
      <c r="D40" s="49"/>
    </row>
    <row r="41" spans="3:6">
      <c r="D41" s="49"/>
    </row>
  </sheetData>
  <mergeCells count="2">
    <mergeCell ref="A1:I1"/>
    <mergeCell ref="A2:I2"/>
  </mergeCells>
  <phoneticPr fontId="0" type="noConversion"/>
  <printOptions horizontalCentered="1" verticalCentered="1"/>
  <pageMargins left="0.59055118110236227" right="0.59055118110236227" top="0.59055118110236227" bottom="0.59055118110236227" header="0.39370078740157483" footer="0.39370078740157483"/>
  <pageSetup paperSize="9" orientation="landscape" r:id="rId1"/>
  <headerFooter alignWithMargins="0">
    <oddHeader>&amp;C&amp;8&amp;F</oddHeader>
    <oddFooter>&amp;L&amp;"Times New Roman,Bold"&amp;8&amp;A, &amp;F&amp;C&amp;"Times New Roman,Bold"&amp;8&amp;P of &amp;N&amp;R&amp;"Times New Roman,Bold"&amp;8Printed 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3:E13"/>
  <sheetViews>
    <sheetView workbookViewId="0">
      <selection activeCell="E10" sqref="E10"/>
    </sheetView>
  </sheetViews>
  <sheetFormatPr defaultRowHeight="12.75"/>
  <cols>
    <col min="4" max="4" width="18.85546875" bestFit="1" customWidth="1"/>
    <col min="5" max="5" width="10.140625" bestFit="1" customWidth="1"/>
  </cols>
  <sheetData>
    <row r="3" spans="2:5">
      <c r="B3" t="s">
        <v>280</v>
      </c>
      <c r="C3" t="s">
        <v>281</v>
      </c>
      <c r="D3" t="s">
        <v>282</v>
      </c>
      <c r="E3" t="s">
        <v>283</v>
      </c>
    </row>
    <row r="5" spans="2:5">
      <c r="B5" t="s">
        <v>260</v>
      </c>
      <c r="C5" s="100">
        <v>1</v>
      </c>
      <c r="D5" t="s">
        <v>264</v>
      </c>
      <c r="E5" s="101">
        <v>41181</v>
      </c>
    </row>
    <row r="6" spans="2:5">
      <c r="B6" t="s">
        <v>266</v>
      </c>
      <c r="C6" s="100">
        <v>2</v>
      </c>
      <c r="D6" t="s">
        <v>264</v>
      </c>
      <c r="E6" s="101">
        <v>41202</v>
      </c>
    </row>
    <row r="7" spans="2:5">
      <c r="B7" s="102" t="s">
        <v>268</v>
      </c>
      <c r="C7" s="100" t="s">
        <v>331</v>
      </c>
      <c r="D7" s="102" t="s">
        <v>295</v>
      </c>
      <c r="E7" s="101">
        <v>41216</v>
      </c>
    </row>
    <row r="8" spans="2:5">
      <c r="C8" s="100"/>
    </row>
    <row r="9" spans="2:5">
      <c r="C9" s="100"/>
    </row>
    <row r="10" spans="2:5">
      <c r="C10" s="100"/>
    </row>
    <row r="11" spans="2:5">
      <c r="C11" s="100"/>
    </row>
    <row r="12" spans="2:5">
      <c r="C12" s="100"/>
    </row>
    <row r="13" spans="2:5">
      <c r="C13" s="99"/>
    </row>
  </sheetData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2:K64"/>
  <sheetViews>
    <sheetView topLeftCell="A10" workbookViewId="0">
      <selection activeCell="B22" sqref="B22"/>
    </sheetView>
  </sheetViews>
  <sheetFormatPr defaultRowHeight="12.75"/>
  <cols>
    <col min="1" max="1" width="10.140625" style="1" bestFit="1" customWidth="1"/>
    <col min="2" max="2" width="32.140625" style="1" customWidth="1"/>
    <col min="3" max="6" width="9.140625" style="1"/>
    <col min="7" max="7" width="11.85546875" style="1" bestFit="1" customWidth="1"/>
    <col min="8" max="8" width="20.5703125" style="1" bestFit="1" customWidth="1"/>
    <col min="9" max="16384" width="9.140625" style="1"/>
  </cols>
  <sheetData>
    <row r="2" spans="1:11">
      <c r="A2" s="1" t="s">
        <v>168</v>
      </c>
      <c r="B2" s="1">
        <v>2012</v>
      </c>
    </row>
    <row r="4" spans="1:11">
      <c r="A4" s="2" t="s">
        <v>54</v>
      </c>
    </row>
    <row r="5" spans="1:11">
      <c r="B5" s="1">
        <v>1</v>
      </c>
      <c r="C5" s="1" t="s">
        <v>55</v>
      </c>
      <c r="G5" s="73" t="s">
        <v>41</v>
      </c>
      <c r="H5" s="74" t="s">
        <v>42</v>
      </c>
      <c r="K5" s="74" t="s">
        <v>140</v>
      </c>
    </row>
    <row r="6" spans="1:11">
      <c r="B6" s="1">
        <v>2</v>
      </c>
      <c r="C6" s="1" t="s">
        <v>56</v>
      </c>
      <c r="G6" s="53" t="s">
        <v>102</v>
      </c>
      <c r="H6" s="52" t="s">
        <v>70</v>
      </c>
      <c r="K6" s="83" t="s">
        <v>7</v>
      </c>
    </row>
    <row r="7" spans="1:11">
      <c r="B7" s="1">
        <v>3</v>
      </c>
      <c r="C7" s="1" t="s">
        <v>57</v>
      </c>
      <c r="G7" s="53" t="s">
        <v>104</v>
      </c>
      <c r="H7" s="52" t="s">
        <v>43</v>
      </c>
      <c r="K7" s="83" t="s">
        <v>39</v>
      </c>
    </row>
    <row r="8" spans="1:11">
      <c r="B8" s="1">
        <v>4</v>
      </c>
      <c r="C8" s="1" t="s">
        <v>58</v>
      </c>
      <c r="G8" s="54" t="s">
        <v>162</v>
      </c>
      <c r="H8" s="52" t="s">
        <v>157</v>
      </c>
      <c r="K8" s="83" t="s">
        <v>79</v>
      </c>
    </row>
    <row r="9" spans="1:11">
      <c r="B9" s="1">
        <v>5</v>
      </c>
      <c r="C9" s="1" t="s">
        <v>59</v>
      </c>
      <c r="G9" s="1" t="s">
        <v>121</v>
      </c>
      <c r="H9" s="52" t="s">
        <v>33</v>
      </c>
      <c r="K9" s="83" t="s">
        <v>121</v>
      </c>
    </row>
    <row r="10" spans="1:11">
      <c r="B10" s="1">
        <v>6</v>
      </c>
      <c r="C10" s="1" t="s">
        <v>60</v>
      </c>
      <c r="G10" s="1" t="s">
        <v>92</v>
      </c>
      <c r="H10" s="52" t="s">
        <v>36</v>
      </c>
      <c r="K10" s="83" t="s">
        <v>75</v>
      </c>
    </row>
    <row r="11" spans="1:11">
      <c r="B11" s="1">
        <v>7</v>
      </c>
      <c r="C11" s="1" t="s">
        <v>61</v>
      </c>
      <c r="G11" s="1" t="s">
        <v>136</v>
      </c>
      <c r="H11" s="52" t="s">
        <v>53</v>
      </c>
      <c r="K11" s="84" t="s">
        <v>136</v>
      </c>
    </row>
    <row r="12" spans="1:11">
      <c r="B12" s="1">
        <v>8</v>
      </c>
      <c r="C12" s="1" t="s">
        <v>62</v>
      </c>
      <c r="G12" s="1" t="s">
        <v>149</v>
      </c>
      <c r="H12" s="52" t="s">
        <v>35</v>
      </c>
      <c r="K12" s="84" t="s">
        <v>156</v>
      </c>
    </row>
    <row r="13" spans="1:11">
      <c r="B13" s="1">
        <v>9</v>
      </c>
      <c r="C13" s="1" t="s">
        <v>63</v>
      </c>
      <c r="G13" s="1" t="s">
        <v>151</v>
      </c>
      <c r="H13" s="52" t="s">
        <v>34</v>
      </c>
      <c r="K13" s="84" t="s">
        <v>103</v>
      </c>
    </row>
    <row r="14" spans="1:11">
      <c r="B14" s="1">
        <v>10</v>
      </c>
      <c r="C14" s="1" t="s">
        <v>64</v>
      </c>
      <c r="H14" s="52" t="s">
        <v>40</v>
      </c>
      <c r="K14" s="84" t="s">
        <v>179</v>
      </c>
    </row>
    <row r="15" spans="1:11">
      <c r="B15" s="1">
        <v>11</v>
      </c>
      <c r="C15" s="1" t="s">
        <v>65</v>
      </c>
      <c r="H15" s="52" t="s">
        <v>154</v>
      </c>
      <c r="K15" s="84" t="s">
        <v>85</v>
      </c>
    </row>
    <row r="16" spans="1:11">
      <c r="B16" s="1">
        <v>12</v>
      </c>
      <c r="C16" s="1" t="s">
        <v>66</v>
      </c>
      <c r="H16" s="55" t="s">
        <v>44</v>
      </c>
      <c r="K16" s="84" t="s">
        <v>111</v>
      </c>
    </row>
    <row r="17" spans="1:11">
      <c r="H17" s="52" t="s">
        <v>179</v>
      </c>
      <c r="K17" s="84" t="s">
        <v>4</v>
      </c>
    </row>
    <row r="18" spans="1:11">
      <c r="H18" s="52" t="s">
        <v>118</v>
      </c>
      <c r="K18" s="84" t="s">
        <v>192</v>
      </c>
    </row>
    <row r="19" spans="1:11">
      <c r="A19" s="2" t="s">
        <v>67</v>
      </c>
      <c r="B19" s="50">
        <v>41364</v>
      </c>
      <c r="C19" s="1" t="str">
        <f>TEXT(B19,"dd mmmm yyyy")</f>
        <v>31 March 2013</v>
      </c>
      <c r="H19" s="52" t="s">
        <v>27</v>
      </c>
      <c r="K19" s="84" t="s">
        <v>107</v>
      </c>
    </row>
    <row r="20" spans="1:11">
      <c r="H20" s="52" t="s">
        <v>119</v>
      </c>
      <c r="K20" s="84" t="s">
        <v>105</v>
      </c>
    </row>
    <row r="21" spans="1:11">
      <c r="H21" s="52" t="s">
        <v>120</v>
      </c>
      <c r="K21" s="52" t="s">
        <v>144</v>
      </c>
    </row>
    <row r="22" spans="1:11">
      <c r="C22" s="1" t="s">
        <v>92</v>
      </c>
      <c r="H22" s="52" t="s">
        <v>122</v>
      </c>
      <c r="K22" s="52" t="s">
        <v>145</v>
      </c>
    </row>
    <row r="23" spans="1:11">
      <c r="C23" s="1" t="s">
        <v>121</v>
      </c>
      <c r="H23" s="52" t="s">
        <v>131</v>
      </c>
      <c r="K23" s="52" t="s">
        <v>146</v>
      </c>
    </row>
    <row r="24" spans="1:11">
      <c r="C24" s="1" t="s">
        <v>124</v>
      </c>
      <c r="H24" s="52" t="s">
        <v>4</v>
      </c>
      <c r="K24" s="52" t="s">
        <v>147</v>
      </c>
    </row>
    <row r="25" spans="1:11">
      <c r="C25" s="1" t="s">
        <v>93</v>
      </c>
      <c r="H25" s="52" t="s">
        <v>134</v>
      </c>
      <c r="K25" s="86" t="s">
        <v>148</v>
      </c>
    </row>
    <row r="26" spans="1:11">
      <c r="C26" s="1" t="s">
        <v>94</v>
      </c>
      <c r="H26" s="52" t="s">
        <v>135</v>
      </c>
      <c r="K26" s="52" t="s">
        <v>162</v>
      </c>
    </row>
    <row r="27" spans="1:11">
      <c r="C27" s="1" t="s">
        <v>95</v>
      </c>
      <c r="H27" s="55" t="s">
        <v>124</v>
      </c>
      <c r="K27" s="52" t="s">
        <v>167</v>
      </c>
    </row>
    <row r="28" spans="1:11">
      <c r="C28" s="1" t="s">
        <v>96</v>
      </c>
      <c r="H28" s="55" t="s">
        <v>136</v>
      </c>
      <c r="K28" s="52" t="s">
        <v>161</v>
      </c>
    </row>
    <row r="29" spans="1:11">
      <c r="H29" s="55" t="s">
        <v>162</v>
      </c>
      <c r="K29" s="85"/>
    </row>
    <row r="30" spans="1:11">
      <c r="H30" s="55" t="s">
        <v>165</v>
      </c>
      <c r="K30" s="94"/>
    </row>
    <row r="31" spans="1:11">
      <c r="H31" s="55" t="s">
        <v>293</v>
      </c>
      <c r="K31" s="1" t="s">
        <v>141</v>
      </c>
    </row>
    <row r="32" spans="1:11">
      <c r="H32" s="55" t="s">
        <v>167</v>
      </c>
      <c r="K32" s="94"/>
    </row>
    <row r="33" spans="1:11">
      <c r="H33" s="55" t="s">
        <v>307</v>
      </c>
      <c r="K33" s="94"/>
    </row>
    <row r="34" spans="1:11">
      <c r="H34" s="55" t="s">
        <v>186</v>
      </c>
      <c r="K34" s="94"/>
    </row>
    <row r="35" spans="1:11">
      <c r="H35" s="52" t="s">
        <v>137</v>
      </c>
    </row>
    <row r="36" spans="1:11">
      <c r="A36" s="2" t="s">
        <v>123</v>
      </c>
      <c r="H36" s="56" t="s">
        <v>106</v>
      </c>
    </row>
    <row r="37" spans="1:11">
      <c r="B37" s="77" t="s">
        <v>121</v>
      </c>
      <c r="C37" s="97">
        <v>12270.24</v>
      </c>
      <c r="H37" s="52" t="s">
        <v>138</v>
      </c>
    </row>
    <row r="38" spans="1:11">
      <c r="B38" s="77" t="s">
        <v>124</v>
      </c>
      <c r="C38" s="97">
        <v>600</v>
      </c>
      <c r="H38" s="52" t="s">
        <v>142</v>
      </c>
    </row>
    <row r="39" spans="1:11">
      <c r="B39" s="78" t="s">
        <v>91</v>
      </c>
      <c r="C39" s="97">
        <v>0</v>
      </c>
      <c r="H39" s="52" t="s">
        <v>143</v>
      </c>
    </row>
    <row r="40" spans="1:11">
      <c r="B40" s="78" t="s">
        <v>84</v>
      </c>
      <c r="C40" s="97">
        <v>0</v>
      </c>
      <c r="H40" s="52" t="s">
        <v>180</v>
      </c>
    </row>
    <row r="41" spans="1:11">
      <c r="B41" s="78" t="s">
        <v>83</v>
      </c>
      <c r="C41" s="97">
        <v>2096.25</v>
      </c>
      <c r="H41" s="52" t="s">
        <v>147</v>
      </c>
    </row>
    <row r="42" spans="1:11">
      <c r="B42" s="78" t="s">
        <v>78</v>
      </c>
      <c r="C42" s="97">
        <v>1379.49</v>
      </c>
      <c r="H42" s="52" t="s">
        <v>150</v>
      </c>
    </row>
    <row r="43" spans="1:11">
      <c r="B43" s="78" t="s">
        <v>125</v>
      </c>
      <c r="C43" s="97">
        <v>10908.53</v>
      </c>
      <c r="H43" s="56" t="s">
        <v>148</v>
      </c>
    </row>
    <row r="44" spans="1:11">
      <c r="B44" s="78" t="s">
        <v>177</v>
      </c>
      <c r="C44" s="97">
        <v>2750</v>
      </c>
      <c r="H44" s="57" t="s">
        <v>156</v>
      </c>
    </row>
    <row r="45" spans="1:11">
      <c r="B45" s="77" t="s">
        <v>158</v>
      </c>
      <c r="C45" s="97">
        <v>555</v>
      </c>
      <c r="H45" s="57" t="s">
        <v>158</v>
      </c>
    </row>
    <row r="46" spans="1:11">
      <c r="B46" s="77" t="s">
        <v>178</v>
      </c>
      <c r="C46" s="97">
        <v>1800</v>
      </c>
      <c r="H46" s="57" t="s">
        <v>161</v>
      </c>
    </row>
    <row r="47" spans="1:11">
      <c r="B47" s="77" t="s">
        <v>179</v>
      </c>
      <c r="C47" s="97">
        <v>250</v>
      </c>
      <c r="H47" s="1" t="s">
        <v>159</v>
      </c>
    </row>
    <row r="48" spans="1:11">
      <c r="B48" s="1" t="s">
        <v>128</v>
      </c>
      <c r="H48" s="1" t="s">
        <v>166</v>
      </c>
    </row>
    <row r="51" spans="2:3">
      <c r="B51" s="1" t="s">
        <v>153</v>
      </c>
      <c r="C51" s="1">
        <v>19315.64</v>
      </c>
    </row>
    <row r="53" spans="2:3">
      <c r="B53" s="1" t="s">
        <v>169</v>
      </c>
      <c r="C53" s="97">
        <v>32892.410000000003</v>
      </c>
    </row>
    <row r="54" spans="2:3">
      <c r="B54" s="1" t="s">
        <v>170</v>
      </c>
      <c r="C54" s="97">
        <v>24.98</v>
      </c>
    </row>
    <row r="64" spans="2:3">
      <c r="B64" s="71"/>
    </row>
  </sheetData>
  <phoneticPr fontId="0" type="noConversion"/>
  <conditionalFormatting sqref="H17:H21">
    <cfRule type="expression" dxfId="14" priority="1" stopIfTrue="1">
      <formula>"isblank"</formula>
    </cfRule>
  </conditionalFormatting>
  <pageMargins left="0.75" right="0.75" top="1" bottom="1" header="0.5" footer="0.5"/>
  <pageSetup paperSize="9" orientation="portrait" horizontalDpi="4294967293" verticalDpi="2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2">
    <pageSetUpPr fitToPage="1"/>
  </sheetPr>
  <dimension ref="A1:U89"/>
  <sheetViews>
    <sheetView tabSelected="1" topLeftCell="A4" workbookViewId="0">
      <selection activeCell="F42" sqref="F42"/>
    </sheetView>
  </sheetViews>
  <sheetFormatPr defaultRowHeight="12.75"/>
  <cols>
    <col min="1" max="1" width="2.7109375" style="1" customWidth="1"/>
    <col min="2" max="2" width="25" style="1" customWidth="1"/>
    <col min="3" max="3" width="16.7109375" style="1" customWidth="1"/>
    <col min="4" max="5" width="12.7109375" style="1" customWidth="1"/>
    <col min="6" max="6" width="10.28515625" style="1" customWidth="1"/>
    <col min="7" max="7" width="2.7109375" style="1" customWidth="1"/>
    <col min="8" max="8" width="24.42578125" style="1" customWidth="1"/>
    <col min="9" max="9" width="12.7109375" style="1" customWidth="1"/>
    <col min="10" max="10" width="10" style="1" customWidth="1"/>
    <col min="11" max="11" width="2.7109375" style="1" customWidth="1"/>
    <col min="12" max="12" width="4.7109375" style="1" customWidth="1"/>
    <col min="13" max="13" width="21.28515625" style="1" customWidth="1"/>
    <col min="14" max="14" width="16.42578125" style="1" customWidth="1"/>
    <col min="15" max="16" width="10.28515625" style="1" customWidth="1"/>
    <col min="17" max="17" width="7.140625" style="1" customWidth="1"/>
    <col min="18" max="18" width="9.140625" style="1" customWidth="1"/>
    <col min="19" max="19" width="9.140625" style="1"/>
    <col min="20" max="20" width="12.28515625" style="1" customWidth="1"/>
    <col min="21" max="21" width="11.7109375" style="1" customWidth="1"/>
    <col min="22" max="22" width="6.5703125" style="1" customWidth="1"/>
    <col min="23" max="23" width="10.140625" style="1" customWidth="1"/>
    <col min="24" max="24" width="6.5703125" style="1" customWidth="1"/>
    <col min="25" max="25" width="7.5703125" style="1" customWidth="1"/>
    <col min="26" max="26" width="6.5703125" style="1" customWidth="1"/>
    <col min="27" max="27" width="8.5703125" style="1" customWidth="1"/>
    <col min="28" max="28" width="7.5703125" style="1" customWidth="1"/>
    <col min="29" max="29" width="11.140625" style="1" customWidth="1"/>
    <col min="30" max="30" width="6.5703125" style="1" customWidth="1"/>
    <col min="31" max="31" width="8.5703125" style="1" customWidth="1"/>
    <col min="32" max="32" width="7.5703125" style="1" customWidth="1"/>
    <col min="33" max="33" width="11.140625" style="1" customWidth="1"/>
    <col min="34" max="34" width="6.5703125" style="1" customWidth="1"/>
    <col min="35" max="35" width="10.140625" style="1" customWidth="1"/>
    <col min="36" max="36" width="6.5703125" style="1" customWidth="1"/>
    <col min="37" max="37" width="10.140625" style="1" customWidth="1"/>
    <col min="38" max="38" width="7.5703125" style="1" customWidth="1"/>
    <col min="39" max="39" width="11.140625" style="1" customWidth="1"/>
    <col min="40" max="40" width="7.5703125" style="1" customWidth="1"/>
    <col min="41" max="41" width="11.140625" style="1" customWidth="1"/>
    <col min="42" max="42" width="6.5703125" style="1" customWidth="1"/>
    <col min="43" max="43" width="8.5703125" style="1" customWidth="1"/>
    <col min="44" max="44" width="6.5703125" style="1" customWidth="1"/>
    <col min="45" max="45" width="8.5703125" style="1" customWidth="1"/>
    <col min="46" max="46" width="7.5703125" style="1" customWidth="1"/>
    <col min="47" max="47" width="11.140625" style="1" customWidth="1"/>
    <col min="48" max="48" width="7.5703125" style="1" customWidth="1"/>
    <col min="49" max="49" width="11.140625" style="1" customWidth="1"/>
    <col min="50" max="50" width="6.5703125" style="1" customWidth="1"/>
    <col min="51" max="51" width="8.5703125" style="1" customWidth="1"/>
    <col min="52" max="52" width="7.5703125" style="1" customWidth="1"/>
    <col min="53" max="53" width="11.140625" style="1" customWidth="1"/>
    <col min="54" max="54" width="7.5703125" style="1" customWidth="1"/>
    <col min="55" max="55" width="11.140625" style="1" customWidth="1"/>
    <col min="56" max="56" width="7.5703125" style="1" customWidth="1"/>
    <col min="57" max="57" width="11.140625" style="1" customWidth="1"/>
    <col min="58" max="58" width="7.5703125" style="1" customWidth="1"/>
    <col min="59" max="59" width="11.140625" style="1" customWidth="1"/>
    <col min="60" max="60" width="6.5703125" style="1" customWidth="1"/>
    <col min="61" max="61" width="8.5703125" style="1" customWidth="1"/>
    <col min="62" max="62" width="6.5703125" style="1" customWidth="1"/>
    <col min="63" max="63" width="8.5703125" style="1" customWidth="1"/>
    <col min="64" max="64" width="6.5703125" style="1" customWidth="1"/>
    <col min="65" max="65" width="8.5703125" style="1" customWidth="1"/>
    <col min="66" max="66" width="6.5703125" style="1" customWidth="1"/>
    <col min="67" max="67" width="10.140625" style="1" customWidth="1"/>
    <col min="68" max="68" width="6.5703125" style="1" customWidth="1"/>
    <col min="69" max="69" width="8.5703125" style="1" customWidth="1"/>
    <col min="70" max="70" width="7.5703125" style="1" customWidth="1"/>
    <col min="71" max="71" width="11.140625" style="1" customWidth="1"/>
    <col min="72" max="72" width="6.5703125" style="1" customWidth="1"/>
    <col min="73" max="73" width="10.140625" style="1" customWidth="1"/>
    <col min="74" max="74" width="7.5703125" style="1" customWidth="1"/>
    <col min="75" max="75" width="11.140625" style="1" customWidth="1"/>
    <col min="76" max="90" width="7" style="1" customWidth="1"/>
    <col min="91" max="91" width="11.140625" style="1" customWidth="1"/>
    <col min="92" max="92" width="10.5703125" style="1" customWidth="1"/>
    <col min="93" max="93" width="10.5703125" style="1" bestFit="1" customWidth="1"/>
    <col min="94" max="16384" width="9.140625" style="1"/>
  </cols>
  <sheetData>
    <row r="1" spans="1:21">
      <c r="L1"/>
      <c r="M1"/>
    </row>
    <row r="2" spans="1:21">
      <c r="M2" s="103" t="s">
        <v>41</v>
      </c>
      <c r="N2" s="92" t="s">
        <v>121</v>
      </c>
    </row>
    <row r="3" spans="1:21">
      <c r="A3" s="25"/>
    </row>
    <row r="4" spans="1:21">
      <c r="A4" s="25"/>
      <c r="B4" s="103" t="s">
        <v>115</v>
      </c>
      <c r="C4" s="92"/>
      <c r="D4" s="103" t="s">
        <v>114</v>
      </c>
      <c r="E4" s="92"/>
      <c r="F4" s="92"/>
      <c r="H4" s="103" t="s">
        <v>115</v>
      </c>
      <c r="I4" s="103" t="s">
        <v>114</v>
      </c>
      <c r="J4" s="92"/>
      <c r="K4" s="92"/>
      <c r="M4" s="103" t="s">
        <v>175</v>
      </c>
      <c r="N4" s="103" t="s">
        <v>114</v>
      </c>
      <c r="O4" s="92"/>
      <c r="P4" s="92"/>
      <c r="Q4"/>
      <c r="R4"/>
      <c r="S4"/>
      <c r="T4"/>
      <c r="U4"/>
    </row>
    <row r="5" spans="1:21">
      <c r="A5" s="25"/>
      <c r="B5" s="103" t="s">
        <v>41</v>
      </c>
      <c r="C5" s="103" t="s">
        <v>42</v>
      </c>
      <c r="D5" s="92" t="s">
        <v>27</v>
      </c>
      <c r="E5" s="92" t="s">
        <v>28</v>
      </c>
      <c r="F5" s="92" t="s">
        <v>113</v>
      </c>
      <c r="H5" s="103" t="s">
        <v>139</v>
      </c>
      <c r="I5" s="92" t="s">
        <v>3</v>
      </c>
      <c r="J5" s="92" t="s">
        <v>2</v>
      </c>
      <c r="K5" s="92"/>
      <c r="M5" s="103" t="s">
        <v>174</v>
      </c>
      <c r="N5" s="92" t="s">
        <v>27</v>
      </c>
      <c r="O5" s="92" t="s">
        <v>28</v>
      </c>
      <c r="P5" s="92" t="s">
        <v>113</v>
      </c>
      <c r="Q5"/>
      <c r="R5"/>
      <c r="S5"/>
      <c r="T5"/>
      <c r="U5"/>
    </row>
    <row r="6" spans="1:21">
      <c r="A6" s="25"/>
      <c r="B6" s="92" t="s">
        <v>121</v>
      </c>
      <c r="C6" s="92" t="s">
        <v>166</v>
      </c>
      <c r="D6" s="93"/>
      <c r="E6" s="93">
        <v>-28.549999999999997</v>
      </c>
      <c r="F6" s="93">
        <v>-28.549999999999997</v>
      </c>
      <c r="H6" s="92" t="s">
        <v>105</v>
      </c>
      <c r="I6" s="93">
        <v>620</v>
      </c>
      <c r="J6" s="93">
        <v>-683.9</v>
      </c>
      <c r="K6" s="93"/>
      <c r="M6" s="104" t="s">
        <v>184</v>
      </c>
      <c r="N6" s="93"/>
      <c r="O6" s="93"/>
      <c r="P6" s="93"/>
      <c r="Q6"/>
      <c r="R6"/>
      <c r="S6"/>
      <c r="T6"/>
      <c r="U6"/>
    </row>
    <row r="7" spans="1:21">
      <c r="A7" s="25"/>
      <c r="B7" s="92"/>
      <c r="C7" s="92" t="s">
        <v>165</v>
      </c>
      <c r="D7" s="93"/>
      <c r="E7" s="93">
        <v>-9.0500000000000007</v>
      </c>
      <c r="F7" s="93">
        <v>-9.0500000000000007</v>
      </c>
      <c r="H7" s="92" t="s">
        <v>75</v>
      </c>
      <c r="I7" s="93"/>
      <c r="J7" s="93">
        <v>-275</v>
      </c>
      <c r="K7" s="93"/>
      <c r="M7" s="105" t="s">
        <v>165</v>
      </c>
      <c r="N7" s="93"/>
      <c r="O7" s="93">
        <v>-9.0500000000000007</v>
      </c>
      <c r="P7" s="93">
        <v>-9.0500000000000007</v>
      </c>
      <c r="Q7"/>
      <c r="R7"/>
      <c r="S7"/>
      <c r="T7"/>
      <c r="U7"/>
    </row>
    <row r="8" spans="1:21">
      <c r="A8" s="25"/>
      <c r="B8" s="92"/>
      <c r="C8" s="92" t="s">
        <v>118</v>
      </c>
      <c r="D8" s="93">
        <v>750</v>
      </c>
      <c r="E8" s="93">
        <v>-11173.239999999998</v>
      </c>
      <c r="F8" s="93">
        <v>-10423.239999999998</v>
      </c>
      <c r="H8" s="92" t="s">
        <v>121</v>
      </c>
      <c r="I8" s="93">
        <v>27545</v>
      </c>
      <c r="J8" s="93">
        <v>-19934.929999999997</v>
      </c>
      <c r="K8"/>
      <c r="M8" s="105" t="s">
        <v>118</v>
      </c>
      <c r="N8" s="93"/>
      <c r="O8" s="93">
        <v>-3000</v>
      </c>
      <c r="P8" s="93">
        <v>-3000</v>
      </c>
      <c r="Q8"/>
      <c r="R8"/>
      <c r="S8"/>
      <c r="T8"/>
      <c r="U8"/>
    </row>
    <row r="9" spans="1:21">
      <c r="A9" s="25"/>
      <c r="B9" s="92"/>
      <c r="C9" s="92" t="s">
        <v>307</v>
      </c>
      <c r="D9" s="93"/>
      <c r="E9" s="93">
        <v>-742.5</v>
      </c>
      <c r="F9" s="93">
        <v>-742.5</v>
      </c>
      <c r="H9" s="92" t="s">
        <v>79</v>
      </c>
      <c r="I9" s="93"/>
      <c r="J9" s="93">
        <v>-1185.75</v>
      </c>
      <c r="K9"/>
      <c r="M9" s="105" t="s">
        <v>27</v>
      </c>
      <c r="N9" s="93">
        <v>5302.5</v>
      </c>
      <c r="O9" s="93">
        <v>-279</v>
      </c>
      <c r="P9" s="93">
        <v>5023.5</v>
      </c>
      <c r="Q9"/>
      <c r="R9"/>
      <c r="S9"/>
      <c r="T9"/>
      <c r="U9"/>
    </row>
    <row r="10" spans="1:21">
      <c r="A10" s="25"/>
      <c r="B10" s="92"/>
      <c r="C10" s="92" t="s">
        <v>27</v>
      </c>
      <c r="D10" s="93">
        <v>28995</v>
      </c>
      <c r="E10" s="93">
        <v>-279</v>
      </c>
      <c r="F10" s="93">
        <v>28716</v>
      </c>
      <c r="H10" s="92" t="s">
        <v>7</v>
      </c>
      <c r="I10" s="93">
        <v>183</v>
      </c>
      <c r="J10" s="93">
        <v>-363.9</v>
      </c>
      <c r="K10"/>
      <c r="M10" s="105" t="s">
        <v>36</v>
      </c>
      <c r="N10" s="93"/>
      <c r="O10" s="93">
        <v>-36.5</v>
      </c>
      <c r="P10" s="93">
        <v>-36.5</v>
      </c>
      <c r="Q10"/>
      <c r="R10"/>
      <c r="S10"/>
      <c r="T10"/>
      <c r="U10"/>
    </row>
    <row r="11" spans="1:21">
      <c r="A11" s="32"/>
      <c r="B11" s="92"/>
      <c r="C11" s="92" t="s">
        <v>36</v>
      </c>
      <c r="D11" s="93"/>
      <c r="E11" s="93">
        <v>-36.5</v>
      </c>
      <c r="F11" s="93">
        <v>-36.5</v>
      </c>
      <c r="H11" s="92" t="s">
        <v>184</v>
      </c>
      <c r="I11" s="93">
        <v>5324</v>
      </c>
      <c r="J11" s="93">
        <v>-2238</v>
      </c>
      <c r="K11"/>
      <c r="M11" s="105" t="s">
        <v>120</v>
      </c>
      <c r="N11" s="93"/>
      <c r="O11" s="93">
        <v>-560</v>
      </c>
      <c r="P11" s="93">
        <v>-560</v>
      </c>
      <c r="Q11"/>
      <c r="R11"/>
      <c r="S11"/>
      <c r="T11"/>
      <c r="U11"/>
    </row>
    <row r="12" spans="1:21">
      <c r="B12" s="92"/>
      <c r="C12" s="92" t="s">
        <v>120</v>
      </c>
      <c r="D12" s="93"/>
      <c r="E12" s="93">
        <v>-2005</v>
      </c>
      <c r="F12" s="93">
        <v>-2005</v>
      </c>
      <c r="H12" s="92" t="s">
        <v>4</v>
      </c>
      <c r="I12" s="93">
        <v>3.4099999999999997</v>
      </c>
      <c r="J12" s="93"/>
      <c r="K12"/>
      <c r="M12" s="105" t="s">
        <v>293</v>
      </c>
      <c r="N12" s="93"/>
      <c r="O12" s="93">
        <v>-698.09</v>
      </c>
      <c r="P12" s="93">
        <v>-698.09</v>
      </c>
      <c r="Q12"/>
      <c r="R12"/>
      <c r="S12"/>
      <c r="T12"/>
      <c r="U12"/>
    </row>
    <row r="13" spans="1:21">
      <c r="B13" s="92"/>
      <c r="C13" s="92" t="s">
        <v>293</v>
      </c>
      <c r="D13" s="93"/>
      <c r="E13" s="93">
        <v>-698.09</v>
      </c>
      <c r="F13" s="93">
        <v>-698.09</v>
      </c>
      <c r="H13" s="92" t="s">
        <v>147</v>
      </c>
      <c r="I13" s="93"/>
      <c r="J13" s="93">
        <v>-218</v>
      </c>
      <c r="K13"/>
      <c r="M13" s="105" t="s">
        <v>307</v>
      </c>
      <c r="N13" s="93"/>
      <c r="O13" s="93">
        <v>-742.5</v>
      </c>
      <c r="P13" s="93">
        <v>-742.5</v>
      </c>
      <c r="Q13"/>
      <c r="R13"/>
      <c r="S13"/>
      <c r="T13"/>
      <c r="U13"/>
    </row>
    <row r="14" spans="1:21">
      <c r="B14" s="92"/>
      <c r="C14" s="92" t="s">
        <v>122</v>
      </c>
      <c r="D14" s="93"/>
      <c r="E14" s="93">
        <v>-3678</v>
      </c>
      <c r="F14" s="93">
        <v>-3678</v>
      </c>
      <c r="H14" s="92" t="s">
        <v>146</v>
      </c>
      <c r="I14" s="93"/>
      <c r="J14" s="93">
        <v>-51.09</v>
      </c>
      <c r="K14"/>
      <c r="M14" s="104" t="s">
        <v>185</v>
      </c>
      <c r="N14" s="93">
        <v>5302.5</v>
      </c>
      <c r="O14" s="93">
        <v>-5325.14</v>
      </c>
      <c r="P14" s="93">
        <v>-22.640000000000214</v>
      </c>
      <c r="Q14"/>
      <c r="R14"/>
      <c r="S14"/>
      <c r="T14"/>
      <c r="U14"/>
    </row>
    <row r="15" spans="1:21">
      <c r="B15" s="92"/>
      <c r="C15" s="92" t="s">
        <v>119</v>
      </c>
      <c r="D15" s="93"/>
      <c r="E15" s="93">
        <v>-1285</v>
      </c>
      <c r="F15" s="93">
        <v>-1285</v>
      </c>
      <c r="H15" s="92" t="s">
        <v>136</v>
      </c>
      <c r="I15" s="93">
        <v>1500</v>
      </c>
      <c r="J15" s="93">
        <v>-1903</v>
      </c>
      <c r="K15"/>
      <c r="M15" s="104" t="s">
        <v>189</v>
      </c>
      <c r="N15" s="93"/>
      <c r="O15" s="93"/>
      <c r="P15" s="93"/>
    </row>
    <row r="16" spans="1:21">
      <c r="B16" s="92" t="s">
        <v>163</v>
      </c>
      <c r="C16" s="92"/>
      <c r="D16" s="93">
        <v>29745</v>
      </c>
      <c r="E16" s="93">
        <v>-19934.93</v>
      </c>
      <c r="F16" s="93">
        <v>9810.0700000000033</v>
      </c>
      <c r="H16" s="92" t="s">
        <v>192</v>
      </c>
      <c r="I16" s="93"/>
      <c r="J16" s="93">
        <v>-105.4</v>
      </c>
      <c r="K16"/>
      <c r="M16" s="105" t="s">
        <v>166</v>
      </c>
      <c r="N16" s="93"/>
      <c r="O16" s="93">
        <v>-52.55</v>
      </c>
      <c r="P16" s="93">
        <v>-52.55</v>
      </c>
    </row>
    <row r="17" spans="2:16">
      <c r="B17" s="92" t="s">
        <v>92</v>
      </c>
      <c r="C17" s="92" t="s">
        <v>147</v>
      </c>
      <c r="D17" s="93"/>
      <c r="E17" s="93">
        <v>-218</v>
      </c>
      <c r="F17" s="93">
        <v>-218</v>
      </c>
      <c r="H17" s="92" t="s">
        <v>161</v>
      </c>
      <c r="I17" s="93">
        <v>1500</v>
      </c>
      <c r="J17" s="93">
        <v>-898.2</v>
      </c>
      <c r="K17"/>
      <c r="M17" s="105" t="s">
        <v>118</v>
      </c>
      <c r="N17" s="93"/>
      <c r="O17" s="93">
        <v>-2311.0500000000002</v>
      </c>
      <c r="P17" s="93">
        <v>-2311.0500000000002</v>
      </c>
    </row>
    <row r="18" spans="2:16">
      <c r="B18" s="92"/>
      <c r="C18" s="92" t="s">
        <v>106</v>
      </c>
      <c r="D18" s="93">
        <v>620</v>
      </c>
      <c r="E18" s="93">
        <v>-958.9</v>
      </c>
      <c r="F18" s="93">
        <v>-338.9</v>
      </c>
      <c r="H18" s="92" t="s">
        <v>113</v>
      </c>
      <c r="I18" s="93">
        <v>36675.410000000003</v>
      </c>
      <c r="J18" s="93">
        <v>-27857.170000000002</v>
      </c>
      <c r="K18"/>
      <c r="M18" s="105" t="s">
        <v>27</v>
      </c>
      <c r="N18" s="93">
        <v>2475</v>
      </c>
      <c r="O18" s="93"/>
      <c r="P18" s="93">
        <v>2475</v>
      </c>
    </row>
    <row r="19" spans="2:16">
      <c r="B19" s="92"/>
      <c r="C19" s="92" t="s">
        <v>131</v>
      </c>
      <c r="D19" s="93">
        <v>2750</v>
      </c>
      <c r="E19" s="93"/>
      <c r="F19" s="93">
        <v>2750</v>
      </c>
      <c r="M19" s="105" t="s">
        <v>120</v>
      </c>
      <c r="N19" s="93"/>
      <c r="O19" s="93">
        <v>-640</v>
      </c>
      <c r="P19" s="93">
        <v>-640</v>
      </c>
    </row>
    <row r="20" spans="2:16">
      <c r="B20" s="92"/>
      <c r="C20" s="92" t="s">
        <v>156</v>
      </c>
      <c r="D20" s="93"/>
      <c r="E20" s="93">
        <v>-2238</v>
      </c>
      <c r="F20" s="93">
        <v>-2238</v>
      </c>
      <c r="M20" s="105" t="s">
        <v>119</v>
      </c>
      <c r="N20" s="93"/>
      <c r="O20" s="93">
        <v>-1000</v>
      </c>
      <c r="P20" s="93">
        <v>-1000</v>
      </c>
    </row>
    <row r="21" spans="2:16">
      <c r="B21" s="92"/>
      <c r="C21" s="92" t="s">
        <v>27</v>
      </c>
      <c r="D21" s="93">
        <v>183</v>
      </c>
      <c r="E21" s="93"/>
      <c r="F21" s="93">
        <v>183</v>
      </c>
      <c r="M21" s="104" t="s">
        <v>190</v>
      </c>
      <c r="N21" s="93">
        <v>2475</v>
      </c>
      <c r="O21" s="93">
        <v>-4003.6000000000004</v>
      </c>
      <c r="P21" s="93">
        <v>-1528.6000000000004</v>
      </c>
    </row>
    <row r="22" spans="2:16">
      <c r="B22" s="92"/>
      <c r="C22" s="92" t="s">
        <v>4</v>
      </c>
      <c r="D22" s="93">
        <v>3.4099999999999997</v>
      </c>
      <c r="E22" s="93"/>
      <c r="F22" s="93">
        <v>3.4099999999999997</v>
      </c>
      <c r="M22" s="104" t="s">
        <v>220</v>
      </c>
      <c r="N22" s="93"/>
      <c r="O22" s="93"/>
      <c r="P22" s="93"/>
    </row>
    <row r="23" spans="2:16">
      <c r="B23" s="92"/>
      <c r="C23" s="92" t="s">
        <v>142</v>
      </c>
      <c r="D23" s="93"/>
      <c r="E23" s="93">
        <v>-1185.75</v>
      </c>
      <c r="F23" s="93">
        <v>-1185.75</v>
      </c>
      <c r="M23" s="105" t="s">
        <v>118</v>
      </c>
      <c r="N23" s="93"/>
      <c r="O23" s="93">
        <v>-49.2</v>
      </c>
      <c r="P23" s="93">
        <v>-49.2</v>
      </c>
    </row>
    <row r="24" spans="2:16">
      <c r="B24" s="92"/>
      <c r="C24" s="92" t="s">
        <v>161</v>
      </c>
      <c r="D24" s="93"/>
      <c r="E24" s="93">
        <v>-898.2</v>
      </c>
      <c r="F24" s="93">
        <v>-898.2</v>
      </c>
      <c r="M24" s="105" t="s">
        <v>27</v>
      </c>
      <c r="N24" s="93">
        <v>90</v>
      </c>
      <c r="O24" s="93"/>
      <c r="P24" s="93">
        <v>90</v>
      </c>
    </row>
    <row r="25" spans="2:16">
      <c r="B25" s="92"/>
      <c r="C25" s="92" t="s">
        <v>119</v>
      </c>
      <c r="D25" s="93"/>
      <c r="E25" s="93">
        <v>-105.4</v>
      </c>
      <c r="F25" s="93">
        <v>-105.4</v>
      </c>
      <c r="M25" s="105" t="s">
        <v>119</v>
      </c>
      <c r="N25" s="93"/>
      <c r="O25" s="93">
        <v>-35</v>
      </c>
      <c r="P25" s="93">
        <v>-35</v>
      </c>
    </row>
    <row r="26" spans="2:16">
      <c r="B26" s="92"/>
      <c r="C26" s="92" t="s">
        <v>137</v>
      </c>
      <c r="D26" s="93"/>
      <c r="E26" s="93">
        <v>-51.09</v>
      </c>
      <c r="F26" s="93">
        <v>-51.09</v>
      </c>
      <c r="M26" s="104" t="s">
        <v>241</v>
      </c>
      <c r="N26" s="93">
        <v>90</v>
      </c>
      <c r="O26" s="93">
        <v>-84.2</v>
      </c>
      <c r="P26" s="93">
        <v>5.7999999999999972</v>
      </c>
    </row>
    <row r="27" spans="2:16">
      <c r="B27" s="92" t="s">
        <v>132</v>
      </c>
      <c r="C27" s="92"/>
      <c r="D27" s="93">
        <v>3556.41</v>
      </c>
      <c r="E27" s="93">
        <v>-5655.3399999999992</v>
      </c>
      <c r="F27" s="93">
        <v>-2098.9300000000003</v>
      </c>
      <c r="M27" s="104" t="s">
        <v>209</v>
      </c>
      <c r="N27" s="93"/>
      <c r="O27" s="93"/>
      <c r="P27" s="93"/>
    </row>
    <row r="28" spans="2:16">
      <c r="B28" s="92" t="s">
        <v>136</v>
      </c>
      <c r="C28" s="92" t="s">
        <v>131</v>
      </c>
      <c r="D28" s="93">
        <v>1500</v>
      </c>
      <c r="E28" s="93"/>
      <c r="F28" s="93">
        <v>1500</v>
      </c>
      <c r="M28" s="105" t="s">
        <v>118</v>
      </c>
      <c r="N28" s="93"/>
      <c r="O28" s="93">
        <v>-1009.75</v>
      </c>
      <c r="P28" s="93">
        <v>-1009.75</v>
      </c>
    </row>
    <row r="29" spans="2:16">
      <c r="B29" s="92"/>
      <c r="C29" s="92" t="s">
        <v>293</v>
      </c>
      <c r="D29" s="93"/>
      <c r="E29" s="93">
        <v>-1400</v>
      </c>
      <c r="F29" s="93">
        <v>-1400</v>
      </c>
      <c r="M29" s="105" t="s">
        <v>27</v>
      </c>
      <c r="N29" s="93">
        <v>2337.5</v>
      </c>
      <c r="O29" s="93"/>
      <c r="P29" s="93">
        <v>2337.5</v>
      </c>
    </row>
    <row r="30" spans="2:16">
      <c r="B30" s="92"/>
      <c r="C30" s="92" t="s">
        <v>134</v>
      </c>
      <c r="D30" s="93"/>
      <c r="E30" s="93">
        <v>-265.5</v>
      </c>
      <c r="F30" s="93">
        <v>-265.5</v>
      </c>
      <c r="M30" s="105" t="s">
        <v>122</v>
      </c>
      <c r="N30" s="93"/>
      <c r="O30" s="93">
        <v>-672</v>
      </c>
      <c r="P30" s="93">
        <v>-672</v>
      </c>
    </row>
    <row r="31" spans="2:16">
      <c r="B31" s="92"/>
      <c r="C31" s="92" t="s">
        <v>119</v>
      </c>
      <c r="D31" s="93"/>
      <c r="E31" s="93">
        <v>-237.5</v>
      </c>
      <c r="F31" s="93">
        <v>-237.5</v>
      </c>
      <c r="M31" s="104" t="s">
        <v>242</v>
      </c>
      <c r="N31" s="93">
        <v>2337.5</v>
      </c>
      <c r="O31" s="93">
        <v>-1681.75</v>
      </c>
      <c r="P31" s="93">
        <v>655.75</v>
      </c>
    </row>
    <row r="32" spans="2:16">
      <c r="B32" s="92" t="s">
        <v>303</v>
      </c>
      <c r="C32" s="92"/>
      <c r="D32" s="93">
        <v>1500</v>
      </c>
      <c r="E32" s="93">
        <v>-1903</v>
      </c>
      <c r="F32" s="93">
        <v>-403</v>
      </c>
      <c r="M32" s="104" t="s">
        <v>253</v>
      </c>
      <c r="N32" s="93"/>
      <c r="O32" s="93"/>
      <c r="P32" s="93"/>
    </row>
    <row r="33" spans="2:16">
      <c r="B33" s="92" t="s">
        <v>113</v>
      </c>
      <c r="C33" s="92"/>
      <c r="D33" s="93">
        <v>34801.410000000003</v>
      </c>
      <c r="E33" s="93">
        <v>-27493.270000000004</v>
      </c>
      <c r="F33" s="93">
        <v>7308.1400000000031</v>
      </c>
      <c r="M33" s="105" t="s">
        <v>118</v>
      </c>
      <c r="N33" s="93"/>
      <c r="O33" s="93">
        <v>-40</v>
      </c>
      <c r="P33" s="93">
        <v>-40</v>
      </c>
    </row>
    <row r="34" spans="2:16">
      <c r="B34"/>
      <c r="C34"/>
      <c r="D34"/>
      <c r="E34"/>
      <c r="F34"/>
      <c r="M34" s="105" t="s">
        <v>27</v>
      </c>
      <c r="N34" s="93">
        <v>90</v>
      </c>
      <c r="O34" s="93"/>
      <c r="P34" s="93">
        <v>90</v>
      </c>
    </row>
    <row r="35" spans="2:16">
      <c r="B35"/>
      <c r="C35"/>
      <c r="D35"/>
      <c r="E35"/>
      <c r="F35"/>
      <c r="M35" s="104" t="s">
        <v>254</v>
      </c>
      <c r="N35" s="93">
        <v>90</v>
      </c>
      <c r="O35" s="93">
        <v>-40</v>
      </c>
      <c r="P35" s="93">
        <v>50</v>
      </c>
    </row>
    <row r="36" spans="2:16">
      <c r="B36"/>
      <c r="C36"/>
      <c r="D36"/>
      <c r="E36"/>
      <c r="F36"/>
      <c r="M36" s="104" t="s">
        <v>266</v>
      </c>
      <c r="N36" s="93"/>
      <c r="O36" s="93"/>
      <c r="P36" s="93"/>
    </row>
    <row r="37" spans="2:16">
      <c r="B37"/>
      <c r="C37"/>
      <c r="D37"/>
      <c r="E37"/>
      <c r="F37"/>
      <c r="M37" s="105" t="s">
        <v>118</v>
      </c>
      <c r="N37" s="93">
        <v>750</v>
      </c>
      <c r="O37" s="93">
        <v>750</v>
      </c>
      <c r="P37" s="93">
        <v>1500</v>
      </c>
    </row>
    <row r="38" spans="2:16">
      <c r="B38"/>
      <c r="C38"/>
      <c r="D38"/>
      <c r="E38"/>
      <c r="F38"/>
      <c r="M38" s="105" t="s">
        <v>27</v>
      </c>
      <c r="N38" s="93">
        <v>495</v>
      </c>
      <c r="O38" s="93"/>
      <c r="P38" s="93">
        <v>495</v>
      </c>
    </row>
    <row r="39" spans="2:16">
      <c r="B39"/>
      <c r="C39"/>
      <c r="D39"/>
      <c r="E39"/>
      <c r="F39"/>
      <c r="M39" s="105" t="s">
        <v>120</v>
      </c>
      <c r="N39" s="93"/>
      <c r="O39" s="93">
        <v>-420</v>
      </c>
      <c r="P39" s="93">
        <v>-420</v>
      </c>
    </row>
    <row r="40" spans="2:16">
      <c r="B40"/>
      <c r="C40"/>
      <c r="D40"/>
      <c r="E40"/>
      <c r="F40"/>
      <c r="M40" s="105" t="s">
        <v>122</v>
      </c>
      <c r="N40" s="93"/>
      <c r="O40" s="93">
        <v>-702</v>
      </c>
      <c r="P40" s="93">
        <v>-702</v>
      </c>
    </row>
    <row r="41" spans="2:16">
      <c r="B41"/>
      <c r="C41"/>
      <c r="D41"/>
      <c r="E41"/>
      <c r="F41"/>
      <c r="M41" s="104" t="s">
        <v>284</v>
      </c>
      <c r="N41" s="93">
        <v>1245</v>
      </c>
      <c r="O41" s="93">
        <v>-372</v>
      </c>
      <c r="P41" s="93">
        <v>873</v>
      </c>
    </row>
    <row r="42" spans="2:16">
      <c r="B42"/>
      <c r="C42"/>
      <c r="D42"/>
      <c r="E42"/>
      <c r="F42"/>
      <c r="M42" s="104" t="s">
        <v>260</v>
      </c>
      <c r="N42" s="93"/>
      <c r="O42" s="93"/>
      <c r="P42" s="93"/>
    </row>
    <row r="43" spans="2:16">
      <c r="B43"/>
      <c r="C43"/>
      <c r="D43"/>
      <c r="E43"/>
      <c r="F43"/>
      <c r="M43" s="105" t="s">
        <v>118</v>
      </c>
      <c r="N43" s="93"/>
      <c r="O43" s="93">
        <v>-750</v>
      </c>
      <c r="P43" s="93">
        <v>-750</v>
      </c>
    </row>
    <row r="44" spans="2:16">
      <c r="B44"/>
      <c r="C44"/>
      <c r="D44"/>
      <c r="E44"/>
      <c r="F44"/>
      <c r="M44" s="105" t="s">
        <v>27</v>
      </c>
      <c r="N44" s="93">
        <v>3025</v>
      </c>
      <c r="O44" s="93"/>
      <c r="P44" s="93">
        <v>3025</v>
      </c>
    </row>
    <row r="45" spans="2:16">
      <c r="B45"/>
      <c r="C45"/>
      <c r="D45"/>
      <c r="E45"/>
      <c r="F45"/>
      <c r="M45" s="105" t="s">
        <v>120</v>
      </c>
      <c r="N45" s="93"/>
      <c r="O45" s="93">
        <v>-385</v>
      </c>
      <c r="P45" s="93">
        <v>-385</v>
      </c>
    </row>
    <row r="46" spans="2:16">
      <c r="B46"/>
      <c r="C46"/>
      <c r="D46"/>
      <c r="E46"/>
      <c r="F46"/>
      <c r="M46" s="105" t="s">
        <v>122</v>
      </c>
      <c r="N46" s="93"/>
      <c r="O46" s="93">
        <v>-768</v>
      </c>
      <c r="P46" s="93">
        <v>-768</v>
      </c>
    </row>
    <row r="47" spans="2:16">
      <c r="B47"/>
      <c r="C47"/>
      <c r="D47"/>
      <c r="E47"/>
      <c r="F47"/>
      <c r="M47" s="105" t="s">
        <v>119</v>
      </c>
      <c r="N47" s="93"/>
      <c r="O47" s="93">
        <v>450</v>
      </c>
      <c r="P47" s="93">
        <v>450</v>
      </c>
    </row>
    <row r="48" spans="2:16">
      <c r="M48" s="104" t="s">
        <v>285</v>
      </c>
      <c r="N48" s="93">
        <v>3025</v>
      </c>
      <c r="O48" s="93">
        <v>-1453</v>
      </c>
      <c r="P48" s="93">
        <v>1572</v>
      </c>
    </row>
    <row r="49" spans="13:16">
      <c r="M49" s="104" t="s">
        <v>268</v>
      </c>
      <c r="N49" s="93"/>
      <c r="O49" s="93"/>
      <c r="P49" s="93"/>
    </row>
    <row r="50" spans="13:16">
      <c r="M50" s="105" t="s">
        <v>166</v>
      </c>
      <c r="N50" s="93"/>
      <c r="O50" s="93">
        <v>24</v>
      </c>
      <c r="P50" s="93">
        <v>24</v>
      </c>
    </row>
    <row r="51" spans="13:16">
      <c r="M51" s="105" t="s">
        <v>118</v>
      </c>
      <c r="N51" s="93"/>
      <c r="O51" s="93">
        <v>-2000</v>
      </c>
      <c r="P51" s="93">
        <v>-2000</v>
      </c>
    </row>
    <row r="52" spans="13:16">
      <c r="M52" s="105" t="s">
        <v>27</v>
      </c>
      <c r="N52" s="93">
        <v>6930</v>
      </c>
      <c r="O52" s="93"/>
      <c r="P52" s="93">
        <v>6930</v>
      </c>
    </row>
    <row r="53" spans="13:16">
      <c r="M53" s="105" t="s">
        <v>122</v>
      </c>
      <c r="N53" s="93"/>
      <c r="O53" s="93">
        <v>-864</v>
      </c>
      <c r="P53" s="93">
        <v>-864</v>
      </c>
    </row>
    <row r="54" spans="13:16">
      <c r="M54" s="104" t="s">
        <v>286</v>
      </c>
      <c r="N54" s="93">
        <v>6930</v>
      </c>
      <c r="O54" s="93">
        <v>-2840</v>
      </c>
      <c r="P54" s="93">
        <v>4090</v>
      </c>
    </row>
    <row r="55" spans="13:16">
      <c r="M55" s="104" t="s">
        <v>319</v>
      </c>
      <c r="N55" s="93"/>
      <c r="O55" s="93"/>
      <c r="P55" s="93"/>
    </row>
    <row r="56" spans="13:16">
      <c r="M56" s="105" t="s">
        <v>27</v>
      </c>
      <c r="N56" s="93">
        <v>3300</v>
      </c>
      <c r="O56" s="93"/>
      <c r="P56" s="93">
        <v>3300</v>
      </c>
    </row>
    <row r="57" spans="13:16">
      <c r="M57" s="105" t="s">
        <v>122</v>
      </c>
      <c r="N57" s="93"/>
      <c r="O57" s="93">
        <v>-672</v>
      </c>
      <c r="P57" s="93">
        <v>-672</v>
      </c>
    </row>
    <row r="58" spans="13:16">
      <c r="M58" s="104" t="s">
        <v>323</v>
      </c>
      <c r="N58" s="93">
        <v>3300</v>
      </c>
      <c r="O58" s="93">
        <v>-672</v>
      </c>
      <c r="P58" s="93">
        <v>2628</v>
      </c>
    </row>
    <row r="59" spans="13:16">
      <c r="M59" s="104" t="s">
        <v>342</v>
      </c>
      <c r="N59" s="93"/>
      <c r="O59" s="93"/>
      <c r="P59" s="93"/>
    </row>
    <row r="60" spans="13:16">
      <c r="M60" s="105" t="s">
        <v>118</v>
      </c>
      <c r="N60" s="93"/>
      <c r="O60" s="93">
        <v>-750</v>
      </c>
      <c r="P60" s="93">
        <v>-750</v>
      </c>
    </row>
    <row r="61" spans="13:16">
      <c r="M61" s="104" t="s">
        <v>346</v>
      </c>
      <c r="N61" s="93"/>
      <c r="O61" s="93">
        <v>-750</v>
      </c>
      <c r="P61" s="93">
        <v>-750</v>
      </c>
    </row>
    <row r="62" spans="13:16">
      <c r="M62" s="104" t="s">
        <v>340</v>
      </c>
      <c r="N62" s="93"/>
      <c r="O62" s="93"/>
      <c r="P62" s="93"/>
    </row>
    <row r="63" spans="13:16">
      <c r="M63" s="105" t="s">
        <v>118</v>
      </c>
      <c r="N63" s="93"/>
      <c r="O63" s="93">
        <v>-513.24</v>
      </c>
      <c r="P63" s="93">
        <v>-513.24</v>
      </c>
    </row>
    <row r="64" spans="13:16">
      <c r="M64" s="104" t="s">
        <v>347</v>
      </c>
      <c r="N64" s="93"/>
      <c r="O64" s="93">
        <v>-513.24</v>
      </c>
      <c r="P64" s="93">
        <v>-513.24</v>
      </c>
    </row>
    <row r="65" spans="8:16">
      <c r="M65" s="104" t="s">
        <v>338</v>
      </c>
      <c r="N65" s="93"/>
      <c r="O65" s="93"/>
      <c r="P65" s="93"/>
    </row>
    <row r="66" spans="8:16">
      <c r="M66" s="105" t="s">
        <v>118</v>
      </c>
      <c r="N66" s="93"/>
      <c r="O66" s="93">
        <v>-250</v>
      </c>
      <c r="P66" s="93">
        <v>-250</v>
      </c>
    </row>
    <row r="67" spans="8:16">
      <c r="M67" s="104" t="s">
        <v>348</v>
      </c>
      <c r="N67" s="93"/>
      <c r="O67" s="93">
        <v>-250</v>
      </c>
      <c r="P67" s="93">
        <v>-250</v>
      </c>
    </row>
    <row r="68" spans="8:16">
      <c r="M68" s="104" t="s">
        <v>336</v>
      </c>
      <c r="N68" s="93"/>
      <c r="O68" s="93"/>
      <c r="P68" s="93"/>
    </row>
    <row r="69" spans="8:16">
      <c r="M69" s="105" t="s">
        <v>118</v>
      </c>
      <c r="N69" s="93"/>
      <c r="O69" s="93">
        <v>-750</v>
      </c>
      <c r="P69" s="93">
        <v>-750</v>
      </c>
    </row>
    <row r="70" spans="8:16">
      <c r="M70" s="105" t="s">
        <v>27</v>
      </c>
      <c r="N70" s="93">
        <v>825</v>
      </c>
      <c r="O70" s="93"/>
      <c r="P70" s="93">
        <v>825</v>
      </c>
    </row>
    <row r="71" spans="8:16">
      <c r="M71" s="104" t="s">
        <v>349</v>
      </c>
      <c r="N71" s="93">
        <v>825</v>
      </c>
      <c r="O71" s="93">
        <v>-750</v>
      </c>
      <c r="P71" s="93">
        <v>75</v>
      </c>
    </row>
    <row r="72" spans="8:16">
      <c r="H72"/>
      <c r="I72"/>
      <c r="J72"/>
      <c r="K72"/>
      <c r="M72" s="104" t="s">
        <v>357</v>
      </c>
      <c r="N72" s="93"/>
      <c r="O72" s="93"/>
      <c r="P72" s="93"/>
    </row>
    <row r="73" spans="8:16">
      <c r="H73"/>
      <c r="I73"/>
      <c r="J73"/>
      <c r="K73"/>
      <c r="M73" s="105" t="s">
        <v>27</v>
      </c>
      <c r="N73" s="93">
        <v>4125</v>
      </c>
      <c r="O73" s="93"/>
      <c r="P73" s="93">
        <v>4125</v>
      </c>
    </row>
    <row r="74" spans="8:16">
      <c r="H74"/>
      <c r="I74"/>
      <c r="J74"/>
      <c r="K74"/>
      <c r="M74" s="105" t="s">
        <v>119</v>
      </c>
      <c r="N74" s="93"/>
      <c r="O74" s="93">
        <v>-700</v>
      </c>
      <c r="P74" s="93">
        <v>-700</v>
      </c>
    </row>
    <row r="75" spans="8:16">
      <c r="H75"/>
      <c r="I75"/>
      <c r="J75"/>
      <c r="K75"/>
      <c r="M75" s="104" t="s">
        <v>373</v>
      </c>
      <c r="N75" s="93">
        <v>4125</v>
      </c>
      <c r="O75" s="93">
        <v>-700</v>
      </c>
      <c r="P75" s="93">
        <v>3425</v>
      </c>
    </row>
    <row r="76" spans="8:16">
      <c r="H76"/>
      <c r="I76"/>
      <c r="J76"/>
      <c r="K76"/>
      <c r="M76" s="104" t="s">
        <v>352</v>
      </c>
      <c r="N76" s="93"/>
      <c r="O76" s="93"/>
      <c r="P76" s="93"/>
    </row>
    <row r="77" spans="8:16">
      <c r="H77"/>
      <c r="I77"/>
      <c r="J77"/>
      <c r="K77"/>
      <c r="M77" s="105" t="s">
        <v>118</v>
      </c>
      <c r="N77" s="93"/>
      <c r="O77" s="93">
        <v>-500</v>
      </c>
      <c r="P77" s="93">
        <v>-500</v>
      </c>
    </row>
    <row r="78" spans="8:16">
      <c r="H78"/>
      <c r="I78"/>
      <c r="J78"/>
      <c r="K78"/>
      <c r="M78" s="104" t="s">
        <v>374</v>
      </c>
      <c r="N78" s="93"/>
      <c r="O78" s="93">
        <v>-500</v>
      </c>
      <c r="P78" s="93">
        <v>-500</v>
      </c>
    </row>
    <row r="79" spans="8:16">
      <c r="H79"/>
      <c r="I79"/>
      <c r="J79"/>
      <c r="K79"/>
      <c r="M79" s="104" t="s">
        <v>113</v>
      </c>
      <c r="N79" s="93">
        <v>29745</v>
      </c>
      <c r="O79" s="93">
        <v>-19934.930000000004</v>
      </c>
      <c r="P79" s="93">
        <v>9810.07</v>
      </c>
    </row>
    <row r="80" spans="8:16">
      <c r="H80"/>
      <c r="I80"/>
      <c r="J80"/>
      <c r="K80"/>
    </row>
    <row r="81" spans="8:11">
      <c r="H81"/>
      <c r="I81"/>
      <c r="J81"/>
      <c r="K81"/>
    </row>
    <row r="82" spans="8:11">
      <c r="H82"/>
      <c r="I82"/>
      <c r="J82"/>
      <c r="K82"/>
    </row>
    <row r="83" spans="8:11">
      <c r="H83"/>
      <c r="I83"/>
      <c r="J83"/>
      <c r="K83"/>
    </row>
    <row r="84" spans="8:11">
      <c r="H84"/>
      <c r="I84"/>
      <c r="J84"/>
      <c r="K84"/>
    </row>
    <row r="85" spans="8:11">
      <c r="H85"/>
      <c r="I85"/>
      <c r="J85"/>
      <c r="K85"/>
    </row>
    <row r="86" spans="8:11">
      <c r="H86"/>
      <c r="I86"/>
      <c r="J86"/>
      <c r="K86"/>
    </row>
    <row r="87" spans="8:11">
      <c r="H87"/>
      <c r="I87"/>
      <c r="J87"/>
      <c r="K87"/>
    </row>
    <row r="88" spans="8:11">
      <c r="H88"/>
      <c r="I88"/>
      <c r="J88"/>
      <c r="K88"/>
    </row>
    <row r="89" spans="8:11">
      <c r="H89"/>
      <c r="I89"/>
      <c r="J89"/>
      <c r="K89"/>
    </row>
  </sheetData>
  <phoneticPr fontId="0" type="noConversion"/>
  <printOptions verticalCentered="1"/>
  <pageMargins left="0.59055118110236227" right="0.59055118110236227" top="0.78740157480314965" bottom="0.78740157480314965" header="0.39370078740157483" footer="0.39370078740157483"/>
  <pageSetup paperSize="9" scale="70" orientation="landscape" horizontalDpi="300" verticalDpi="300" r:id="rId4"/>
  <headerFooter alignWithMargins="0">
    <oddHeader>&amp;F</oddHeader>
    <oddFooter>&amp;L&amp;"Times New Roman,Bold"&amp;8&amp;A, &amp;F&amp;C&amp;"Times New Roman,Bold"&amp;8&amp;P of &amp;N&amp;R&amp;"Times New Roman,Bold"&amp;8Printed &amp;D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J49"/>
  <sheetViews>
    <sheetView zoomScale="75" workbookViewId="0">
      <selection activeCell="C49" sqref="C49"/>
    </sheetView>
  </sheetViews>
  <sheetFormatPr defaultRowHeight="12.75"/>
  <cols>
    <col min="1" max="1" width="9.140625" style="1"/>
    <col min="2" max="2" width="15.28515625" style="1" customWidth="1"/>
    <col min="3" max="3" width="28.28515625" style="1" customWidth="1"/>
    <col min="4" max="4" width="9.140625" style="1"/>
    <col min="5" max="5" width="9.85546875" style="1" bestFit="1" customWidth="1"/>
    <col min="6" max="6" width="9.140625" style="1"/>
    <col min="7" max="7" width="10.28515625" style="1" bestFit="1" customWidth="1"/>
    <col min="8" max="8" width="43.140625" style="1" customWidth="1"/>
    <col min="9" max="9" width="9.140625" style="1"/>
    <col min="10" max="10" width="9.85546875" style="1" bestFit="1" customWidth="1"/>
    <col min="11" max="16384" width="9.140625" style="1"/>
  </cols>
  <sheetData>
    <row r="1" spans="1:10">
      <c r="A1" s="106" t="s">
        <v>76</v>
      </c>
      <c r="B1" s="106"/>
      <c r="C1" s="106"/>
      <c r="D1" s="106"/>
      <c r="E1" s="106"/>
      <c r="F1" s="106"/>
      <c r="G1" s="106"/>
      <c r="H1" s="106"/>
      <c r="I1" s="106"/>
      <c r="J1" s="106"/>
    </row>
    <row r="2" spans="1:10">
      <c r="A2" s="106" t="str">
        <f>"RECEIPTS AND EXPENDITURE ACCOUNT FOR THE PERIOD ENDING "&amp;Report_end_date</f>
        <v>RECEIPTS AND EXPENDITURE ACCOUNT FOR THE PERIOD ENDING 31 March 2013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>
      <c r="A3" s="48"/>
      <c r="B3" s="7"/>
      <c r="C3" s="7"/>
      <c r="D3" s="7"/>
      <c r="E3" s="7"/>
      <c r="F3" s="7"/>
      <c r="G3" s="7"/>
      <c r="H3" s="7"/>
      <c r="I3" s="7"/>
      <c r="J3" s="7"/>
    </row>
    <row r="4" spans="1:10">
      <c r="A4" s="7"/>
      <c r="B4" s="7"/>
      <c r="C4" s="7"/>
      <c r="D4" s="7"/>
      <c r="E4" s="7"/>
      <c r="F4" s="7"/>
      <c r="G4" s="7"/>
      <c r="H4" s="7"/>
      <c r="I4" s="7"/>
      <c r="J4" s="7"/>
    </row>
    <row r="5" spans="1:10">
      <c r="A5" s="2" t="str">
        <f>"Cash Balances as at 1 April " &amp; Year_value</f>
        <v>Cash Balances as at 1 April 2012</v>
      </c>
    </row>
    <row r="6" spans="1:10">
      <c r="B6" s="1" t="s">
        <v>112</v>
      </c>
      <c r="D6" s="3">
        <f>HSBC_opening_balance</f>
        <v>32584.730000000003</v>
      </c>
    </row>
    <row r="7" spans="1:10">
      <c r="B7" s="1" t="s">
        <v>38</v>
      </c>
      <c r="D7" s="4">
        <f>Opening_cash</f>
        <v>24.98</v>
      </c>
    </row>
    <row r="8" spans="1:10">
      <c r="D8" s="5">
        <f>SUM(D6:D7)</f>
        <v>32609.710000000003</v>
      </c>
    </row>
    <row r="9" spans="1:10">
      <c r="C9" s="3"/>
      <c r="D9" s="5"/>
    </row>
    <row r="10" spans="1:10">
      <c r="D10" s="5"/>
      <c r="E10" s="3"/>
    </row>
    <row r="11" spans="1:10">
      <c r="A11" s="2" t="s">
        <v>16</v>
      </c>
      <c r="E11" s="3">
        <f>D8</f>
        <v>32609.710000000003</v>
      </c>
    </row>
    <row r="13" spans="1:10" s="2" customFormat="1">
      <c r="A13" s="2" t="s">
        <v>80</v>
      </c>
      <c r="G13" s="2" t="s">
        <v>71</v>
      </c>
    </row>
    <row r="14" spans="1:10">
      <c r="B14" s="1" t="s">
        <v>75</v>
      </c>
      <c r="D14" s="3">
        <f>BTF_RG_credit_total</f>
        <v>2750</v>
      </c>
      <c r="H14" s="1" t="s">
        <v>75</v>
      </c>
      <c r="I14" s="3">
        <f>BTF_RG_debit_total</f>
        <v>649.49</v>
      </c>
    </row>
    <row r="15" spans="1:10">
      <c r="B15" s="1" t="s">
        <v>79</v>
      </c>
      <c r="D15" s="3">
        <f>IRC_credit_total</f>
        <v>0</v>
      </c>
      <c r="H15" s="1" t="s">
        <v>79</v>
      </c>
      <c r="I15" s="3">
        <f>IRC_debit_total</f>
        <v>1185.75</v>
      </c>
    </row>
    <row r="16" spans="1:10">
      <c r="B16" s="1" t="s">
        <v>12</v>
      </c>
      <c r="C16" s="1" t="str">
        <f>"- HSBC Bank"</f>
        <v>- HSBC Bank</v>
      </c>
      <c r="D16" s="3">
        <f>Total_interest</f>
        <v>3.4099999999999997</v>
      </c>
      <c r="H16" s="1" t="s">
        <v>106</v>
      </c>
      <c r="I16" s="3">
        <f>Annual_awards_credit_total</f>
        <v>683.9</v>
      </c>
    </row>
    <row r="17" spans="1:10">
      <c r="B17" s="1" t="s">
        <v>238</v>
      </c>
      <c r="D17" s="3">
        <f>Annual_awards_debit_total</f>
        <v>620</v>
      </c>
      <c r="H17" s="1" t="s">
        <v>108</v>
      </c>
      <c r="I17" s="3"/>
    </row>
    <row r="18" spans="1:10">
      <c r="B18" s="1" t="s">
        <v>85</v>
      </c>
      <c r="D18" s="3">
        <f>Schools_aqua_credit_total</f>
        <v>0</v>
      </c>
      <c r="H18" s="1" t="s">
        <v>85</v>
      </c>
      <c r="I18" s="3">
        <f>Schools_aqua_debit_total</f>
        <v>0</v>
      </c>
    </row>
    <row r="19" spans="1:10">
      <c r="B19" s="1" t="s">
        <v>121</v>
      </c>
      <c r="D19" s="3">
        <f>Coaching_credit_total</f>
        <v>24520</v>
      </c>
      <c r="H19" s="1" t="s">
        <v>121</v>
      </c>
      <c r="I19" s="3">
        <f>Coaching_debit_total</f>
        <v>24342.929999999997</v>
      </c>
    </row>
    <row r="20" spans="1:10">
      <c r="B20" s="1" t="s">
        <v>13</v>
      </c>
      <c r="D20" s="4">
        <f>Misc_credit_total</f>
        <v>5782</v>
      </c>
      <c r="H20" s="1" t="s">
        <v>14</v>
      </c>
      <c r="I20" s="4">
        <f>Misc_Debit_total</f>
        <v>2641.9</v>
      </c>
    </row>
    <row r="21" spans="1:10">
      <c r="D21" s="5"/>
    </row>
    <row r="22" spans="1:10">
      <c r="A22" s="2" t="s">
        <v>129</v>
      </c>
      <c r="E22" s="3">
        <f>SUM(D14:D20)</f>
        <v>33675.410000000003</v>
      </c>
      <c r="G22" s="2" t="s">
        <v>72</v>
      </c>
      <c r="J22" s="3">
        <f>SUM(I14:I20)</f>
        <v>29503.969999999998</v>
      </c>
    </row>
    <row r="25" spans="1:10">
      <c r="A25" s="2" t="s">
        <v>81</v>
      </c>
      <c r="G25" s="2" t="s">
        <v>73</v>
      </c>
    </row>
    <row r="26" spans="1:10">
      <c r="B26" s="1" t="s">
        <v>78</v>
      </c>
      <c r="D26" s="3">
        <f>BTF_AG_credit_total</f>
        <v>1500</v>
      </c>
      <c r="H26" s="1" t="s">
        <v>78</v>
      </c>
      <c r="I26" s="3">
        <f>BTF_AG_debit_total</f>
        <v>1903</v>
      </c>
    </row>
    <row r="27" spans="1:10">
      <c r="B27" s="1" t="s">
        <v>111</v>
      </c>
      <c r="D27" s="3">
        <f>Club_accreditation_credit_total</f>
        <v>0</v>
      </c>
      <c r="H27" s="1" t="s">
        <v>82</v>
      </c>
      <c r="I27" s="3">
        <f>Club_accreditation_debit_total</f>
        <v>0</v>
      </c>
    </row>
    <row r="28" spans="1:10">
      <c r="B28" s="1" t="s">
        <v>155</v>
      </c>
      <c r="D28" s="3">
        <f>Event_quality_credit</f>
        <v>0</v>
      </c>
      <c r="H28" s="1" t="s">
        <v>156</v>
      </c>
      <c r="I28" s="3">
        <f>Event_quality_debit</f>
        <v>0</v>
      </c>
    </row>
    <row r="29" spans="1:10">
      <c r="B29" s="1" t="s">
        <v>158</v>
      </c>
      <c r="D29" s="3">
        <f>Club_quality_credit</f>
        <v>0</v>
      </c>
      <c r="H29" s="1" t="s">
        <v>160</v>
      </c>
      <c r="I29" s="3">
        <f>Club_quality_debit</f>
        <v>0</v>
      </c>
    </row>
    <row r="30" spans="1:10">
      <c r="B30" s="1" t="s">
        <v>83</v>
      </c>
      <c r="D30" s="3">
        <f>HU_DO_credit_total</f>
        <v>0</v>
      </c>
      <c r="H30" s="1" t="s">
        <v>83</v>
      </c>
      <c r="I30" s="3">
        <f>HU_DO_debit_total</f>
        <v>0</v>
      </c>
    </row>
    <row r="31" spans="1:10">
      <c r="B31" s="1" t="s">
        <v>179</v>
      </c>
      <c r="D31" s="3">
        <f>Qual_vol_credit_total</f>
        <v>0</v>
      </c>
      <c r="H31" s="1" t="s">
        <v>179</v>
      </c>
      <c r="I31" s="3">
        <f>HU_WFD_debit_total</f>
        <v>0</v>
      </c>
    </row>
    <row r="32" spans="1:10">
      <c r="B32" s="1" t="s">
        <v>161</v>
      </c>
      <c r="D32" s="3">
        <f>Officiating_credit_total</f>
        <v>1500</v>
      </c>
      <c r="H32" s="1" t="s">
        <v>161</v>
      </c>
      <c r="I32" s="3">
        <f>Officiating_debit_total</f>
        <v>898.2</v>
      </c>
    </row>
    <row r="33" spans="1:10">
      <c r="D33" s="4"/>
      <c r="I33" s="4"/>
    </row>
    <row r="34" spans="1:10">
      <c r="A34" s="2" t="s">
        <v>130</v>
      </c>
      <c r="E34" s="3">
        <f>SUM(D26:D33)</f>
        <v>3000</v>
      </c>
      <c r="G34" s="2" t="s">
        <v>74</v>
      </c>
      <c r="J34" s="3">
        <f>SUM(I26:I33)</f>
        <v>2801.2</v>
      </c>
    </row>
    <row r="35" spans="1:10">
      <c r="A35" s="2"/>
      <c r="E35" s="3"/>
      <c r="G35" s="2"/>
      <c r="J35" s="3"/>
    </row>
    <row r="36" spans="1:10">
      <c r="G36" s="2" t="str">
        <f>"Cash Balances at "&amp;Report_end_date</f>
        <v>Cash Balances at 31 March 2013</v>
      </c>
    </row>
    <row r="37" spans="1:10">
      <c r="D37" s="25"/>
    </row>
    <row r="38" spans="1:10">
      <c r="H38" s="1" t="s">
        <v>227</v>
      </c>
      <c r="I38" s="3">
        <f>HSBC_closing_balance</f>
        <v>11951.560000000005</v>
      </c>
    </row>
    <row r="39" spans="1:10">
      <c r="H39" s="1" t="s">
        <v>229</v>
      </c>
      <c r="I39" s="3">
        <f ca="1">HSBC_savings_closing_balance</f>
        <v>25003.41</v>
      </c>
    </row>
    <row r="40" spans="1:10">
      <c r="H40" s="1" t="s">
        <v>38</v>
      </c>
      <c r="I40" s="4">
        <f ca="1">Closing_cash</f>
        <v>24.98</v>
      </c>
    </row>
    <row r="41" spans="1:10">
      <c r="I41" s="5">
        <f ca="1">SUM(I38:I40)</f>
        <v>36979.950000000004</v>
      </c>
    </row>
    <row r="43" spans="1:10">
      <c r="G43" s="2" t="s">
        <v>15</v>
      </c>
      <c r="J43" s="3">
        <f ca="1">I41</f>
        <v>36979.950000000004</v>
      </c>
    </row>
    <row r="45" spans="1:10" ht="13.5" thickBot="1">
      <c r="E45" s="6">
        <f>SUM(E11:E34)</f>
        <v>69285.12000000001</v>
      </c>
      <c r="J45" s="6">
        <f ca="1">SUM(J22:J43)</f>
        <v>69285.119999999995</v>
      </c>
    </row>
    <row r="46" spans="1:10" ht="13.5" thickTop="1"/>
    <row r="48" spans="1:10">
      <c r="E48" s="44">
        <f ca="1">E45-J45</f>
        <v>0</v>
      </c>
      <c r="G48" s="2"/>
    </row>
    <row r="49" spans="5:5">
      <c r="E49" s="25"/>
    </row>
  </sheetData>
  <mergeCells count="2">
    <mergeCell ref="A1:J1"/>
    <mergeCell ref="A2:J2"/>
  </mergeCells>
  <phoneticPr fontId="0" type="noConversion"/>
  <conditionalFormatting sqref="E45">
    <cfRule type="cellIs" dxfId="19" priority="1" stopIfTrue="1" operator="notEqual">
      <formula>$J$45</formula>
    </cfRule>
  </conditionalFormatting>
  <printOptions horizontalCentered="1" verticalCentered="1"/>
  <pageMargins left="0.59055118110236227" right="0.59055118110236227" top="0.59055118110236227" bottom="0.59055118110236227" header="0.39370078740157483" footer="0.39370078740157483"/>
  <pageSetup paperSize="9" scale="85" orientation="landscape" horizontalDpi="300" verticalDpi="300" r:id="rId1"/>
  <headerFooter alignWithMargins="0">
    <oddHeader>&amp;C&amp;8&amp;F</oddHeader>
    <oddFooter>&amp;L&amp;"Times New Roman,Bold"&amp;8&amp;A, &amp;F&amp;C&amp;"Times New Roman,Bold"&amp;8&amp;P of &amp;N&amp;R&amp;"Times New Roman,Bold"&amp;8Printed &amp;D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W132"/>
  <sheetViews>
    <sheetView zoomScaleNormal="100" workbookViewId="0">
      <pane xSplit="10" ySplit="2" topLeftCell="AQ3" activePane="bottomRight" state="frozen"/>
      <selection activeCell="F41" sqref="F41"/>
      <selection pane="topRight" activeCell="F41" sqref="F41"/>
      <selection pane="bottomLeft" activeCell="F41" sqref="F41"/>
      <selection pane="bottomRight" activeCell="H13" sqref="H13"/>
    </sheetView>
  </sheetViews>
  <sheetFormatPr defaultRowHeight="12.75" outlineLevelCol="1"/>
  <cols>
    <col min="1" max="1" width="9.140625" style="1"/>
    <col min="2" max="4" width="7.85546875" style="1" customWidth="1"/>
    <col min="5" max="5" width="16.140625" style="1" customWidth="1" outlineLevel="1"/>
    <col min="6" max="6" width="10" style="1" customWidth="1" outlineLevel="1"/>
    <col min="7" max="7" width="15.7109375" style="1" customWidth="1" outlineLevel="1"/>
    <col min="8" max="8" width="31.7109375" style="1" customWidth="1"/>
    <col min="9" max="10" width="12.28515625" style="1" bestFit="1" customWidth="1"/>
    <col min="11" max="13" width="12.28515625" style="1" customWidth="1"/>
    <col min="14" max="21" width="10.7109375" style="1" customWidth="1"/>
    <col min="22" max="23" width="10.5703125" style="1" customWidth="1"/>
    <col min="24" max="26" width="9.5703125" style="1" bestFit="1" customWidth="1"/>
    <col min="27" max="27" width="10.5703125" style="1" bestFit="1" customWidth="1"/>
    <col min="28" max="29" width="10.140625" style="1" customWidth="1"/>
    <col min="30" max="30" width="9.42578125" style="1" bestFit="1" customWidth="1"/>
    <col min="31" max="31" width="8.28515625" style="1" customWidth="1"/>
    <col min="32" max="32" width="11.140625" style="1" bestFit="1" customWidth="1"/>
    <col min="33" max="33" width="8.28515625" style="1" customWidth="1"/>
    <col min="34" max="34" width="7.5703125" style="1" customWidth="1"/>
    <col min="35" max="41" width="9.7109375" style="1" customWidth="1"/>
    <col min="42" max="43" width="11" style="1" customWidth="1"/>
    <col min="44" max="45" width="12.28515625" style="1" bestFit="1" customWidth="1"/>
    <col min="46" max="71" width="11" style="1" customWidth="1"/>
    <col min="72" max="16384" width="9.140625" style="1"/>
  </cols>
  <sheetData>
    <row r="1" spans="1:49" s="24" customFormat="1" ht="15.75">
      <c r="A1" s="22"/>
      <c r="B1" s="23"/>
      <c r="C1" s="23"/>
      <c r="D1" s="23"/>
      <c r="E1" s="23"/>
      <c r="F1" s="23"/>
      <c r="G1" s="23"/>
      <c r="I1" s="106" t="s">
        <v>24</v>
      </c>
      <c r="J1" s="106"/>
      <c r="N1" s="107" t="s">
        <v>7</v>
      </c>
      <c r="O1" s="107"/>
      <c r="P1" s="107" t="s">
        <v>39</v>
      </c>
      <c r="Q1" s="107"/>
      <c r="R1" s="107" t="s">
        <v>79</v>
      </c>
      <c r="S1" s="107"/>
      <c r="T1" s="107" t="s">
        <v>121</v>
      </c>
      <c r="U1" s="107"/>
      <c r="V1" s="107" t="s">
        <v>75</v>
      </c>
      <c r="W1" s="107"/>
      <c r="X1" s="106" t="s">
        <v>78</v>
      </c>
      <c r="Y1" s="106"/>
      <c r="Z1" s="106" t="s">
        <v>103</v>
      </c>
      <c r="AA1" s="106"/>
      <c r="AB1" s="106" t="s">
        <v>179</v>
      </c>
      <c r="AC1" s="106"/>
      <c r="AD1" s="106" t="s">
        <v>85</v>
      </c>
      <c r="AE1" s="106"/>
      <c r="AF1" s="106" t="s">
        <v>111</v>
      </c>
      <c r="AG1" s="106"/>
      <c r="AH1" s="106" t="s">
        <v>4</v>
      </c>
      <c r="AI1" s="106"/>
      <c r="AJ1" s="106" t="s">
        <v>155</v>
      </c>
      <c r="AK1" s="106"/>
      <c r="AL1" s="106" t="s">
        <v>160</v>
      </c>
      <c r="AM1" s="106"/>
      <c r="AN1" s="106" t="s">
        <v>161</v>
      </c>
      <c r="AO1" s="106"/>
      <c r="AP1" s="106" t="s">
        <v>105</v>
      </c>
      <c r="AQ1" s="106"/>
      <c r="AR1" s="106" t="s">
        <v>10</v>
      </c>
      <c r="AS1" s="106"/>
      <c r="AT1" s="106" t="s">
        <v>25</v>
      </c>
      <c r="AU1" s="106"/>
      <c r="AV1" s="106" t="s">
        <v>48</v>
      </c>
      <c r="AW1" s="106"/>
    </row>
    <row r="2" spans="1:49" s="24" customFormat="1" ht="15.75">
      <c r="A2" s="22" t="s">
        <v>0</v>
      </c>
      <c r="B2" s="23" t="s">
        <v>32</v>
      </c>
      <c r="C2" s="14" t="s">
        <v>26</v>
      </c>
      <c r="D2" s="14" t="s">
        <v>32</v>
      </c>
      <c r="E2" s="14" t="s">
        <v>41</v>
      </c>
      <c r="F2" s="14" t="s">
        <v>173</v>
      </c>
      <c r="G2" s="14" t="s">
        <v>42</v>
      </c>
      <c r="H2" s="24" t="s">
        <v>1</v>
      </c>
      <c r="I2" s="7" t="s">
        <v>2</v>
      </c>
      <c r="J2" s="7" t="s">
        <v>3</v>
      </c>
      <c r="K2" s="7" t="s">
        <v>114</v>
      </c>
      <c r="L2" s="7" t="s">
        <v>139</v>
      </c>
      <c r="M2" s="7" t="s">
        <v>99</v>
      </c>
      <c r="N2" s="15" t="s">
        <v>2</v>
      </c>
      <c r="O2" s="15" t="s">
        <v>3</v>
      </c>
      <c r="P2" s="15" t="s">
        <v>2</v>
      </c>
      <c r="Q2" s="15" t="s">
        <v>3</v>
      </c>
      <c r="R2" s="15" t="s">
        <v>2</v>
      </c>
      <c r="S2" s="15" t="s">
        <v>3</v>
      </c>
      <c r="T2" s="15" t="s">
        <v>2</v>
      </c>
      <c r="U2" s="15" t="s">
        <v>3</v>
      </c>
      <c r="V2" s="15" t="s">
        <v>2</v>
      </c>
      <c r="W2" s="15" t="s">
        <v>3</v>
      </c>
      <c r="X2" s="15" t="s">
        <v>2</v>
      </c>
      <c r="Y2" s="15" t="s">
        <v>3</v>
      </c>
      <c r="Z2" s="15" t="s">
        <v>2</v>
      </c>
      <c r="AA2" s="15" t="s">
        <v>3</v>
      </c>
      <c r="AB2" s="15" t="s">
        <v>2</v>
      </c>
      <c r="AC2" s="15" t="s">
        <v>3</v>
      </c>
      <c r="AD2" s="15" t="s">
        <v>2</v>
      </c>
      <c r="AE2" s="15" t="s">
        <v>3</v>
      </c>
      <c r="AF2" s="15" t="s">
        <v>2</v>
      </c>
      <c r="AG2" s="15" t="s">
        <v>3</v>
      </c>
      <c r="AH2" s="15" t="s">
        <v>2</v>
      </c>
      <c r="AI2" s="15" t="s">
        <v>3</v>
      </c>
      <c r="AJ2" s="89" t="s">
        <v>2</v>
      </c>
      <c r="AK2" s="89" t="s">
        <v>3</v>
      </c>
      <c r="AL2" s="90" t="s">
        <v>2</v>
      </c>
      <c r="AM2" s="90" t="s">
        <v>3</v>
      </c>
      <c r="AN2" s="15" t="s">
        <v>2</v>
      </c>
      <c r="AO2" s="15" t="s">
        <v>3</v>
      </c>
      <c r="AP2" s="15" t="s">
        <v>2</v>
      </c>
      <c r="AQ2" s="15" t="s">
        <v>3</v>
      </c>
      <c r="AR2" s="7" t="s">
        <v>2</v>
      </c>
      <c r="AS2" s="7" t="s">
        <v>3</v>
      </c>
    </row>
    <row r="3" spans="1:49">
      <c r="A3" s="27"/>
      <c r="B3" s="28"/>
      <c r="C3" s="28"/>
      <c r="D3" s="28"/>
      <c r="E3" s="28"/>
      <c r="F3" s="28"/>
      <c r="G3" s="28"/>
      <c r="H3" s="29"/>
      <c r="I3" s="29"/>
      <c r="J3" s="29"/>
      <c r="K3" s="29"/>
      <c r="L3" s="29"/>
      <c r="M3" s="29"/>
      <c r="N3" s="30"/>
      <c r="O3" s="30"/>
      <c r="P3" s="30"/>
      <c r="Q3" s="30"/>
      <c r="R3" s="30"/>
      <c r="S3" s="30"/>
      <c r="T3" s="30"/>
      <c r="U3" s="30"/>
      <c r="V3" s="30"/>
      <c r="W3" s="31"/>
      <c r="X3" s="31"/>
      <c r="Y3" s="31"/>
      <c r="Z3" s="31"/>
      <c r="AA3" s="31"/>
      <c r="AB3" s="31"/>
      <c r="AC3" s="31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29"/>
      <c r="AQ3" s="29"/>
      <c r="AR3" s="31"/>
      <c r="AS3" s="31"/>
    </row>
    <row r="4" spans="1:49">
      <c r="A4" s="17"/>
      <c r="B4" s="41"/>
      <c r="C4" s="37"/>
      <c r="D4" s="37"/>
      <c r="E4" s="37"/>
      <c r="F4" s="37"/>
      <c r="G4" s="37"/>
      <c r="H4" s="38"/>
      <c r="I4" s="16"/>
      <c r="J4" s="16"/>
      <c r="K4" s="16" t="str">
        <f t="shared" ref="K4:K88" si="0">IF(ISNUMBER(I4),"Debit",IF(ISNUMBER(J4),"Credit",""))</f>
        <v/>
      </c>
      <c r="L4" s="16"/>
      <c r="M4" s="16">
        <f t="shared" ref="M4:M88" si="1">IF(K4="Debit",-I4,J4)</f>
        <v>0</v>
      </c>
      <c r="N4" s="16"/>
      <c r="O4" s="16"/>
      <c r="P4" s="39"/>
      <c r="Q4" s="39"/>
      <c r="R4" s="39"/>
      <c r="S4" s="39"/>
      <c r="T4" s="39"/>
      <c r="U4" s="39"/>
      <c r="V4" s="39"/>
      <c r="W4" s="40"/>
      <c r="X4" s="40"/>
      <c r="Y4" s="40"/>
      <c r="Z4" s="40"/>
      <c r="AA4" s="40"/>
      <c r="AB4" s="40"/>
      <c r="AC4" s="40"/>
      <c r="AD4" s="40"/>
      <c r="AE4" s="40"/>
      <c r="AF4" s="40"/>
      <c r="AG4" s="40"/>
      <c r="AH4" s="40"/>
      <c r="AI4" s="40"/>
      <c r="AJ4" s="40"/>
      <c r="AK4" s="40"/>
      <c r="AL4" s="40"/>
      <c r="AM4" s="40"/>
      <c r="AN4" s="40"/>
      <c r="AO4" s="40"/>
      <c r="AP4" s="38"/>
      <c r="AQ4" s="38"/>
      <c r="AR4" s="25">
        <f>SUMIF($N$2:$AQ$2,"Debit",$N4:$AQ4)</f>
        <v>0</v>
      </c>
      <c r="AS4" s="25">
        <f>SUMIF($N$2:$AQ$2,"Credit",$N4:$AQ4)</f>
        <v>0</v>
      </c>
    </row>
    <row r="5" spans="1:49">
      <c r="A5" s="17"/>
      <c r="B5" s="41"/>
      <c r="C5" s="37"/>
      <c r="D5" s="37"/>
      <c r="E5" s="37"/>
      <c r="F5" s="37"/>
      <c r="G5" s="37"/>
      <c r="H5" s="38"/>
      <c r="I5" s="16"/>
      <c r="J5" s="16"/>
      <c r="K5" s="16"/>
      <c r="L5" s="16"/>
      <c r="M5" s="16"/>
      <c r="N5" s="16"/>
      <c r="O5" s="16"/>
      <c r="P5" s="39"/>
      <c r="Q5" s="39"/>
      <c r="R5" s="39"/>
      <c r="S5" s="39"/>
      <c r="T5" s="39"/>
      <c r="U5" s="39"/>
      <c r="V5" s="39"/>
      <c r="W5" s="40"/>
      <c r="X5" s="40"/>
      <c r="Y5" s="40"/>
      <c r="Z5" s="40"/>
      <c r="AA5" s="40"/>
      <c r="AB5" s="40"/>
      <c r="AC5" s="40"/>
      <c r="AD5" s="40"/>
      <c r="AE5" s="40"/>
      <c r="AF5" s="40"/>
      <c r="AG5" s="40"/>
      <c r="AH5" s="40"/>
      <c r="AI5" s="40"/>
      <c r="AJ5" s="40"/>
      <c r="AK5" s="40"/>
      <c r="AL5" s="40"/>
      <c r="AM5" s="40"/>
      <c r="AN5" s="40"/>
      <c r="AO5" s="40"/>
      <c r="AP5" s="38"/>
      <c r="AQ5" s="38"/>
      <c r="AR5" s="25"/>
      <c r="AS5" s="25"/>
    </row>
    <row r="6" spans="1:49">
      <c r="A6" s="17">
        <v>41360</v>
      </c>
      <c r="B6" s="41" t="s">
        <v>231</v>
      </c>
      <c r="C6" s="37"/>
      <c r="D6" s="37"/>
      <c r="E6" s="37" t="s">
        <v>121</v>
      </c>
      <c r="F6" s="37" t="s">
        <v>357</v>
      </c>
      <c r="G6" s="37" t="s">
        <v>27</v>
      </c>
      <c r="H6" s="38" t="s">
        <v>121</v>
      </c>
      <c r="I6" s="16"/>
      <c r="J6" s="16">
        <v>4125</v>
      </c>
      <c r="K6" s="16" t="str">
        <f t="shared" ref="K6:K38" si="2">IF(ISNUMBER(I6),"Debit",IF(ISNUMBER(J6),"Credit",""))</f>
        <v>Credit</v>
      </c>
      <c r="L6" s="16"/>
      <c r="M6" s="16">
        <f t="shared" ref="M6:M38" si="3">IF(K6="Debit",-I6,J6)</f>
        <v>4125</v>
      </c>
      <c r="N6" s="16"/>
      <c r="O6" s="16">
        <v>4125</v>
      </c>
      <c r="P6" s="39"/>
      <c r="Q6" s="39"/>
      <c r="R6" s="39"/>
      <c r="S6" s="39"/>
      <c r="T6" s="39"/>
      <c r="U6" s="39"/>
      <c r="V6" s="39"/>
      <c r="W6" s="40"/>
      <c r="X6" s="40"/>
      <c r="Y6" s="40"/>
      <c r="Z6" s="40"/>
      <c r="AA6" s="40"/>
      <c r="AB6" s="40"/>
      <c r="AC6" s="40"/>
      <c r="AD6" s="40"/>
      <c r="AE6" s="40"/>
      <c r="AF6" s="40"/>
      <c r="AG6" s="40"/>
      <c r="AH6" s="40"/>
      <c r="AI6" s="40"/>
      <c r="AJ6" s="40"/>
      <c r="AK6" s="40"/>
      <c r="AL6" s="40"/>
      <c r="AM6" s="40"/>
      <c r="AN6" s="40"/>
      <c r="AO6" s="40"/>
      <c r="AP6" s="38"/>
      <c r="AQ6" s="38"/>
      <c r="AR6" s="25">
        <f t="shared" ref="AR6:AR36" si="4">SUMIF($N$2:$AQ$2,"Debit",$N6:$AQ6)</f>
        <v>0</v>
      </c>
      <c r="AS6" s="25">
        <f t="shared" ref="AS6:AS36" si="5">SUMIF($N$2:$AQ$2,"Credit",$N6:$AQ6)</f>
        <v>4125</v>
      </c>
    </row>
    <row r="7" spans="1:49">
      <c r="A7" s="17">
        <v>41358</v>
      </c>
      <c r="B7" s="41" t="s">
        <v>183</v>
      </c>
      <c r="C7" s="37" t="s">
        <v>172</v>
      </c>
      <c r="D7" s="37" t="s">
        <v>368</v>
      </c>
      <c r="E7" s="37" t="s">
        <v>121</v>
      </c>
      <c r="F7" s="37"/>
      <c r="G7" s="37" t="s">
        <v>293</v>
      </c>
      <c r="H7" s="38" t="s">
        <v>369</v>
      </c>
      <c r="I7" s="16">
        <v>698.09</v>
      </c>
      <c r="J7" s="16"/>
      <c r="K7" s="16" t="str">
        <f t="shared" si="2"/>
        <v>Debit</v>
      </c>
      <c r="L7" s="16" t="s">
        <v>121</v>
      </c>
      <c r="M7" s="16">
        <f t="shared" si="3"/>
        <v>-698.09</v>
      </c>
      <c r="N7" s="16"/>
      <c r="O7" s="16"/>
      <c r="P7" s="39"/>
      <c r="Q7" s="39"/>
      <c r="R7" s="39"/>
      <c r="S7" s="39"/>
      <c r="T7" s="39">
        <v>698.09</v>
      </c>
      <c r="U7" s="39"/>
      <c r="V7" s="39"/>
      <c r="W7" s="40"/>
      <c r="X7" s="40"/>
      <c r="Y7" s="40"/>
      <c r="Z7" s="40"/>
      <c r="AA7" s="40"/>
      <c r="AB7" s="40"/>
      <c r="AC7" s="40"/>
      <c r="AD7" s="40"/>
      <c r="AE7" s="40"/>
      <c r="AF7" s="40"/>
      <c r="AG7" s="40"/>
      <c r="AH7" s="40"/>
      <c r="AI7" s="40"/>
      <c r="AJ7" s="40"/>
      <c r="AK7" s="40"/>
      <c r="AL7" s="40"/>
      <c r="AM7" s="40"/>
      <c r="AN7" s="40"/>
      <c r="AO7" s="40"/>
      <c r="AP7" s="38"/>
      <c r="AQ7" s="38"/>
      <c r="AR7" s="25">
        <f t="shared" si="4"/>
        <v>698.09</v>
      </c>
      <c r="AS7" s="25">
        <f t="shared" si="5"/>
        <v>0</v>
      </c>
    </row>
    <row r="8" spans="1:49">
      <c r="A8" s="17">
        <v>41358</v>
      </c>
      <c r="B8" s="41" t="s">
        <v>183</v>
      </c>
      <c r="C8" s="37" t="s">
        <v>172</v>
      </c>
      <c r="D8" s="37" t="s">
        <v>367</v>
      </c>
      <c r="E8" s="37" t="s">
        <v>121</v>
      </c>
      <c r="F8" s="37" t="s">
        <v>352</v>
      </c>
      <c r="G8" s="37" t="s">
        <v>118</v>
      </c>
      <c r="H8" s="38" t="s">
        <v>263</v>
      </c>
      <c r="I8" s="16">
        <v>250</v>
      </c>
      <c r="J8" s="16"/>
      <c r="K8" s="16" t="str">
        <f t="shared" si="2"/>
        <v>Debit</v>
      </c>
      <c r="L8" s="16" t="s">
        <v>121</v>
      </c>
      <c r="M8" s="16">
        <f t="shared" si="3"/>
        <v>-250</v>
      </c>
      <c r="N8" s="16"/>
      <c r="O8" s="16"/>
      <c r="P8" s="39"/>
      <c r="Q8" s="39"/>
      <c r="R8" s="39"/>
      <c r="S8" s="39"/>
      <c r="T8" s="39">
        <v>250</v>
      </c>
      <c r="U8" s="39"/>
      <c r="V8" s="39"/>
      <c r="W8" s="40"/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38"/>
      <c r="AQ8" s="38"/>
      <c r="AR8" s="25">
        <f t="shared" si="4"/>
        <v>250</v>
      </c>
      <c r="AS8" s="25">
        <f t="shared" si="5"/>
        <v>0</v>
      </c>
    </row>
    <row r="9" spans="1:49">
      <c r="A9" s="17">
        <v>41358</v>
      </c>
      <c r="B9" s="41" t="s">
        <v>183</v>
      </c>
      <c r="C9" s="37" t="s">
        <v>172</v>
      </c>
      <c r="D9" s="37" t="s">
        <v>367</v>
      </c>
      <c r="E9" s="37" t="s">
        <v>121</v>
      </c>
      <c r="F9" s="37" t="s">
        <v>342</v>
      </c>
      <c r="G9" s="37" t="s">
        <v>118</v>
      </c>
      <c r="H9" s="38" t="s">
        <v>263</v>
      </c>
      <c r="I9" s="16">
        <v>250</v>
      </c>
      <c r="J9" s="16"/>
      <c r="K9" s="16" t="str">
        <f t="shared" si="2"/>
        <v>Debit</v>
      </c>
      <c r="L9" s="16" t="s">
        <v>121</v>
      </c>
      <c r="M9" s="16">
        <f t="shared" si="3"/>
        <v>-250</v>
      </c>
      <c r="N9" s="16"/>
      <c r="O9" s="16"/>
      <c r="P9" s="39"/>
      <c r="Q9" s="39"/>
      <c r="R9" s="39"/>
      <c r="S9" s="39"/>
      <c r="T9" s="39">
        <v>250</v>
      </c>
      <c r="U9" s="39"/>
      <c r="V9" s="39"/>
      <c r="W9" s="40"/>
      <c r="X9" s="40"/>
      <c r="Y9" s="40"/>
      <c r="Z9" s="40"/>
      <c r="AA9" s="40"/>
      <c r="AB9" s="40"/>
      <c r="AC9" s="40"/>
      <c r="AD9" s="40"/>
      <c r="AE9" s="40"/>
      <c r="AF9" s="40"/>
      <c r="AG9" s="40"/>
      <c r="AH9" s="40"/>
      <c r="AI9" s="40"/>
      <c r="AJ9" s="40"/>
      <c r="AK9" s="40"/>
      <c r="AL9" s="40"/>
      <c r="AM9" s="40"/>
      <c r="AN9" s="40"/>
      <c r="AO9" s="40"/>
      <c r="AP9" s="38"/>
      <c r="AQ9" s="38"/>
      <c r="AR9" s="25">
        <f t="shared" si="4"/>
        <v>250</v>
      </c>
      <c r="AS9" s="25">
        <f t="shared" si="5"/>
        <v>0</v>
      </c>
    </row>
    <row r="10" spans="1:49">
      <c r="A10" s="17">
        <v>41357</v>
      </c>
      <c r="B10" s="41" t="s">
        <v>183</v>
      </c>
      <c r="C10" s="37" t="s">
        <v>172</v>
      </c>
      <c r="D10" s="37" t="s">
        <v>366</v>
      </c>
      <c r="E10" s="37" t="s">
        <v>121</v>
      </c>
      <c r="F10" s="37" t="s">
        <v>342</v>
      </c>
      <c r="G10" s="37" t="s">
        <v>118</v>
      </c>
      <c r="H10" s="38" t="s">
        <v>217</v>
      </c>
      <c r="I10" s="16">
        <v>250</v>
      </c>
      <c r="J10" s="16"/>
      <c r="K10" s="16" t="str">
        <f t="shared" si="2"/>
        <v>Debit</v>
      </c>
      <c r="L10" s="16" t="s">
        <v>121</v>
      </c>
      <c r="M10" s="16">
        <f t="shared" si="3"/>
        <v>-250</v>
      </c>
      <c r="N10" s="16"/>
      <c r="O10" s="16"/>
      <c r="P10" s="39"/>
      <c r="Q10" s="39"/>
      <c r="R10" s="39"/>
      <c r="S10" s="39"/>
      <c r="T10" s="39">
        <v>250</v>
      </c>
      <c r="U10" s="39"/>
      <c r="V10" s="39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38"/>
      <c r="AQ10" s="38"/>
      <c r="AR10" s="25">
        <f t="shared" si="4"/>
        <v>250</v>
      </c>
      <c r="AS10" s="25">
        <f t="shared" si="5"/>
        <v>0</v>
      </c>
    </row>
    <row r="11" spans="1:49">
      <c r="A11" s="17">
        <v>41357</v>
      </c>
      <c r="B11" s="41" t="s">
        <v>183</v>
      </c>
      <c r="C11" s="37" t="s">
        <v>172</v>
      </c>
      <c r="D11" s="37" t="s">
        <v>365</v>
      </c>
      <c r="E11" s="37" t="s">
        <v>121</v>
      </c>
      <c r="F11" s="37" t="s">
        <v>336</v>
      </c>
      <c r="G11" s="37" t="s">
        <v>118</v>
      </c>
      <c r="H11" s="38" t="s">
        <v>351</v>
      </c>
      <c r="I11" s="16">
        <v>250</v>
      </c>
      <c r="J11" s="16"/>
      <c r="K11" s="16" t="str">
        <f t="shared" si="2"/>
        <v>Debit</v>
      </c>
      <c r="L11" s="16" t="s">
        <v>121</v>
      </c>
      <c r="M11" s="16">
        <f t="shared" si="3"/>
        <v>-250</v>
      </c>
      <c r="N11" s="16"/>
      <c r="O11" s="16"/>
      <c r="P11" s="39"/>
      <c r="Q11" s="39"/>
      <c r="R11" s="39"/>
      <c r="S11" s="39"/>
      <c r="T11" s="39">
        <v>250</v>
      </c>
      <c r="U11" s="39"/>
      <c r="V11" s="39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  <c r="AP11" s="38"/>
      <c r="AQ11" s="38"/>
      <c r="AR11" s="25">
        <f t="shared" si="4"/>
        <v>250</v>
      </c>
      <c r="AS11" s="25">
        <f t="shared" si="5"/>
        <v>0</v>
      </c>
    </row>
    <row r="12" spans="1:49">
      <c r="A12" s="17">
        <v>41357</v>
      </c>
      <c r="B12" s="41" t="s">
        <v>183</v>
      </c>
      <c r="C12" s="37" t="s">
        <v>172</v>
      </c>
      <c r="D12" s="37" t="s">
        <v>364</v>
      </c>
      <c r="E12" s="37" t="s">
        <v>121</v>
      </c>
      <c r="F12" s="37" t="s">
        <v>336</v>
      </c>
      <c r="G12" s="37" t="s">
        <v>118</v>
      </c>
      <c r="H12" s="38" t="s">
        <v>351</v>
      </c>
      <c r="I12" s="16">
        <v>500</v>
      </c>
      <c r="J12" s="16"/>
      <c r="K12" s="16" t="str">
        <f t="shared" si="2"/>
        <v>Debit</v>
      </c>
      <c r="L12" s="16" t="s">
        <v>121</v>
      </c>
      <c r="M12" s="16">
        <f t="shared" si="3"/>
        <v>-500</v>
      </c>
      <c r="N12" s="16"/>
      <c r="O12" s="16"/>
      <c r="P12" s="39"/>
      <c r="Q12" s="39"/>
      <c r="R12" s="39"/>
      <c r="S12" s="39"/>
      <c r="T12" s="39">
        <v>500</v>
      </c>
      <c r="U12" s="39"/>
      <c r="V12" s="39"/>
      <c r="W12" s="40"/>
      <c r="X12" s="40"/>
      <c r="Y12" s="40"/>
      <c r="Z12" s="40"/>
      <c r="AA12" s="40"/>
      <c r="AB12" s="40"/>
      <c r="AC12" s="40"/>
      <c r="AD12" s="40"/>
      <c r="AE12" s="40"/>
      <c r="AF12" s="40"/>
      <c r="AG12" s="40"/>
      <c r="AH12" s="40"/>
      <c r="AI12" s="40"/>
      <c r="AJ12" s="40"/>
      <c r="AK12" s="40"/>
      <c r="AL12" s="40"/>
      <c r="AM12" s="40"/>
      <c r="AN12" s="40"/>
      <c r="AO12" s="40"/>
      <c r="AP12" s="38"/>
      <c r="AQ12" s="38"/>
      <c r="AR12" s="25">
        <f t="shared" si="4"/>
        <v>500</v>
      </c>
      <c r="AS12" s="25">
        <f t="shared" si="5"/>
        <v>0</v>
      </c>
    </row>
    <row r="13" spans="1:49">
      <c r="A13" s="17">
        <v>41356</v>
      </c>
      <c r="B13" s="41" t="s">
        <v>183</v>
      </c>
      <c r="C13" s="37" t="s">
        <v>172</v>
      </c>
      <c r="D13" s="37" t="s">
        <v>361</v>
      </c>
      <c r="E13" s="37" t="s">
        <v>121</v>
      </c>
      <c r="F13" s="37" t="s">
        <v>209</v>
      </c>
      <c r="G13" s="37" t="s">
        <v>122</v>
      </c>
      <c r="H13" s="38" t="s">
        <v>350</v>
      </c>
      <c r="I13" s="16">
        <v>672</v>
      </c>
      <c r="J13" s="16"/>
      <c r="K13" s="16" t="str">
        <f t="shared" si="2"/>
        <v>Debit</v>
      </c>
      <c r="L13" s="16" t="s">
        <v>121</v>
      </c>
      <c r="M13" s="16">
        <f t="shared" si="3"/>
        <v>-672</v>
      </c>
      <c r="N13" s="16"/>
      <c r="O13" s="16"/>
      <c r="P13" s="39"/>
      <c r="Q13" s="39"/>
      <c r="R13" s="39"/>
      <c r="S13" s="39"/>
      <c r="T13" s="39">
        <v>672</v>
      </c>
      <c r="U13" s="39"/>
      <c r="V13" s="39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0"/>
      <c r="AO13" s="40"/>
      <c r="AP13" s="38"/>
      <c r="AQ13" s="38"/>
      <c r="AR13" s="25">
        <f t="shared" si="4"/>
        <v>672</v>
      </c>
      <c r="AS13" s="25">
        <f t="shared" si="5"/>
        <v>0</v>
      </c>
    </row>
    <row r="14" spans="1:49">
      <c r="A14" s="17">
        <v>41356</v>
      </c>
      <c r="B14" s="41" t="s">
        <v>183</v>
      </c>
      <c r="C14" s="37" t="s">
        <v>172</v>
      </c>
      <c r="D14" s="37" t="s">
        <v>360</v>
      </c>
      <c r="E14" s="37" t="s">
        <v>92</v>
      </c>
      <c r="F14" s="37"/>
      <c r="G14" s="37"/>
      <c r="H14" s="38" t="s">
        <v>345</v>
      </c>
      <c r="I14" s="16">
        <v>363.9</v>
      </c>
      <c r="J14" s="16"/>
      <c r="K14" s="16" t="str">
        <f t="shared" si="2"/>
        <v>Debit</v>
      </c>
      <c r="L14" s="16" t="s">
        <v>7</v>
      </c>
      <c r="M14" s="16">
        <f t="shared" si="3"/>
        <v>-363.9</v>
      </c>
      <c r="N14" s="16">
        <v>363.9</v>
      </c>
      <c r="O14" s="16"/>
      <c r="P14" s="39"/>
      <c r="Q14" s="39"/>
      <c r="R14" s="39"/>
      <c r="S14" s="39"/>
      <c r="T14" s="39"/>
      <c r="U14" s="39"/>
      <c r="V14" s="39"/>
      <c r="W14" s="40"/>
      <c r="X14" s="40"/>
      <c r="Y14" s="40"/>
      <c r="Z14" s="40"/>
      <c r="AA14" s="40"/>
      <c r="AB14" s="40"/>
      <c r="AC14" s="40"/>
      <c r="AD14" s="40"/>
      <c r="AE14" s="40"/>
      <c r="AF14" s="40"/>
      <c r="AG14" s="40"/>
      <c r="AH14" s="40"/>
      <c r="AI14" s="40"/>
      <c r="AJ14" s="40"/>
      <c r="AK14" s="40"/>
      <c r="AL14" s="40"/>
      <c r="AM14" s="40"/>
      <c r="AN14" s="40"/>
      <c r="AO14" s="40"/>
      <c r="AP14" s="38"/>
      <c r="AQ14" s="38"/>
      <c r="AR14" s="25">
        <f t="shared" si="4"/>
        <v>363.9</v>
      </c>
      <c r="AS14" s="25">
        <f t="shared" si="5"/>
        <v>0</v>
      </c>
    </row>
    <row r="15" spans="1:49">
      <c r="A15" s="17">
        <v>41342</v>
      </c>
      <c r="B15" s="41" t="s">
        <v>183</v>
      </c>
      <c r="C15" s="37" t="s">
        <v>172</v>
      </c>
      <c r="D15" s="37" t="s">
        <v>343</v>
      </c>
      <c r="E15" s="37" t="s">
        <v>92</v>
      </c>
      <c r="F15" s="37"/>
      <c r="G15" s="37" t="s">
        <v>161</v>
      </c>
      <c r="H15" s="38" t="s">
        <v>344</v>
      </c>
      <c r="I15" s="16">
        <v>898.2</v>
      </c>
      <c r="J15" s="16"/>
      <c r="K15" s="16" t="str">
        <f t="shared" si="2"/>
        <v>Debit</v>
      </c>
      <c r="L15" s="16" t="s">
        <v>161</v>
      </c>
      <c r="M15" s="16">
        <f t="shared" si="3"/>
        <v>-898.2</v>
      </c>
      <c r="N15" s="16"/>
      <c r="O15" s="16"/>
      <c r="P15" s="39"/>
      <c r="Q15" s="39"/>
      <c r="R15" s="39"/>
      <c r="S15" s="39"/>
      <c r="T15" s="39"/>
      <c r="U15" s="39"/>
      <c r="V15" s="39"/>
      <c r="W15" s="40"/>
      <c r="X15" s="40"/>
      <c r="Y15" s="40"/>
      <c r="Z15" s="40"/>
      <c r="AA15" s="40"/>
      <c r="AB15" s="40"/>
      <c r="AC15" s="40"/>
      <c r="AD15" s="40"/>
      <c r="AE15" s="40"/>
      <c r="AF15" s="40"/>
      <c r="AG15" s="40"/>
      <c r="AH15" s="40"/>
      <c r="AI15" s="40"/>
      <c r="AJ15" s="40"/>
      <c r="AK15" s="40"/>
      <c r="AL15" s="40"/>
      <c r="AM15" s="40"/>
      <c r="AN15" s="40">
        <v>898.2</v>
      </c>
      <c r="AO15" s="40"/>
      <c r="AP15" s="40"/>
      <c r="AQ15" s="40"/>
      <c r="AR15" s="25">
        <f t="shared" si="4"/>
        <v>898.2</v>
      </c>
      <c r="AS15" s="25">
        <f t="shared" si="5"/>
        <v>0</v>
      </c>
    </row>
    <row r="16" spans="1:49">
      <c r="A16" s="17">
        <v>41341</v>
      </c>
      <c r="B16" s="41" t="s">
        <v>183</v>
      </c>
      <c r="C16" s="37" t="s">
        <v>172</v>
      </c>
      <c r="D16" s="37" t="s">
        <v>341</v>
      </c>
      <c r="E16" s="37" t="s">
        <v>121</v>
      </c>
      <c r="F16" s="37" t="s">
        <v>342</v>
      </c>
      <c r="G16" s="37" t="s">
        <v>118</v>
      </c>
      <c r="H16" s="38" t="s">
        <v>325</v>
      </c>
      <c r="I16" s="16">
        <v>250</v>
      </c>
      <c r="J16" s="16"/>
      <c r="K16" s="16" t="str">
        <f t="shared" si="2"/>
        <v>Debit</v>
      </c>
      <c r="L16" s="16" t="s">
        <v>121</v>
      </c>
      <c r="M16" s="16">
        <f t="shared" si="3"/>
        <v>-250</v>
      </c>
      <c r="N16" s="16"/>
      <c r="O16" s="16"/>
      <c r="P16" s="39"/>
      <c r="Q16" s="39"/>
      <c r="R16" s="39"/>
      <c r="S16" s="39"/>
      <c r="T16" s="39">
        <v>250</v>
      </c>
      <c r="U16" s="39"/>
      <c r="V16" s="39"/>
      <c r="W16" s="40"/>
      <c r="X16" s="40"/>
      <c r="Y16" s="40"/>
      <c r="Z16" s="40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40"/>
      <c r="AO16" s="40"/>
      <c r="AP16" s="40"/>
      <c r="AQ16" s="40"/>
      <c r="AR16" s="25">
        <f t="shared" si="4"/>
        <v>250</v>
      </c>
      <c r="AS16" s="25">
        <f t="shared" si="5"/>
        <v>0</v>
      </c>
    </row>
    <row r="17" spans="1:45">
      <c r="A17" s="17">
        <v>41340</v>
      </c>
      <c r="B17" s="41" t="s">
        <v>183</v>
      </c>
      <c r="C17" s="37" t="s">
        <v>172</v>
      </c>
      <c r="D17" s="37" t="s">
        <v>339</v>
      </c>
      <c r="E17" s="37" t="s">
        <v>121</v>
      </c>
      <c r="F17" s="37" t="s">
        <v>340</v>
      </c>
      <c r="G17" s="37" t="s">
        <v>118</v>
      </c>
      <c r="H17" s="38" t="s">
        <v>188</v>
      </c>
      <c r="I17" s="16">
        <v>513.24</v>
      </c>
      <c r="J17" s="16"/>
      <c r="K17" s="16" t="str">
        <f t="shared" si="2"/>
        <v>Debit</v>
      </c>
      <c r="L17" s="16" t="s">
        <v>121</v>
      </c>
      <c r="M17" s="16">
        <f t="shared" si="3"/>
        <v>-513.24</v>
      </c>
      <c r="N17" s="16"/>
      <c r="O17" s="16"/>
      <c r="P17" s="39"/>
      <c r="Q17" s="39"/>
      <c r="R17" s="39"/>
      <c r="S17" s="39"/>
      <c r="T17" s="39">
        <v>513.24</v>
      </c>
      <c r="U17" s="39"/>
      <c r="V17" s="39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40"/>
      <c r="AP17" s="40"/>
      <c r="AQ17" s="40"/>
      <c r="AR17" s="25">
        <f t="shared" si="4"/>
        <v>513.24</v>
      </c>
      <c r="AS17" s="25">
        <f t="shared" si="5"/>
        <v>0</v>
      </c>
    </row>
    <row r="18" spans="1:45">
      <c r="A18" s="17">
        <v>41340</v>
      </c>
      <c r="B18" s="41" t="s">
        <v>183</v>
      </c>
      <c r="C18" s="37" t="s">
        <v>172</v>
      </c>
      <c r="D18" s="37" t="s">
        <v>337</v>
      </c>
      <c r="E18" s="37" t="s">
        <v>121</v>
      </c>
      <c r="F18" s="37" t="s">
        <v>338</v>
      </c>
      <c r="G18" s="37" t="s">
        <v>118</v>
      </c>
      <c r="H18" s="38" t="s">
        <v>188</v>
      </c>
      <c r="I18" s="16">
        <v>250</v>
      </c>
      <c r="J18" s="16"/>
      <c r="K18" s="16" t="str">
        <f t="shared" si="2"/>
        <v>Debit</v>
      </c>
      <c r="L18" s="16" t="s">
        <v>121</v>
      </c>
      <c r="M18" s="16">
        <f t="shared" si="3"/>
        <v>-250</v>
      </c>
      <c r="N18" s="16"/>
      <c r="O18" s="16"/>
      <c r="P18" s="39"/>
      <c r="Q18" s="39"/>
      <c r="R18" s="39"/>
      <c r="S18" s="39"/>
      <c r="T18" s="39">
        <v>250</v>
      </c>
      <c r="U18" s="39"/>
      <c r="V18" s="39"/>
      <c r="W18" s="40"/>
      <c r="X18" s="40"/>
      <c r="Y18" s="40"/>
      <c r="Z18" s="40"/>
      <c r="AA18" s="40"/>
      <c r="AB18" s="40"/>
      <c r="AC18" s="40"/>
      <c r="AD18" s="40"/>
      <c r="AE18" s="40"/>
      <c r="AF18" s="40"/>
      <c r="AG18" s="40"/>
      <c r="AH18" s="40"/>
      <c r="AI18" s="40"/>
      <c r="AJ18" s="40"/>
      <c r="AK18" s="40"/>
      <c r="AL18" s="40"/>
      <c r="AM18" s="40"/>
      <c r="AN18" s="40"/>
      <c r="AO18" s="40"/>
      <c r="AP18" s="40"/>
      <c r="AQ18" s="40"/>
      <c r="AR18" s="25">
        <f t="shared" si="4"/>
        <v>250</v>
      </c>
      <c r="AS18" s="25">
        <f t="shared" si="5"/>
        <v>0</v>
      </c>
    </row>
    <row r="19" spans="1:45">
      <c r="A19" s="17">
        <v>41340</v>
      </c>
      <c r="B19" s="41" t="s">
        <v>183</v>
      </c>
      <c r="C19" s="37" t="s">
        <v>172</v>
      </c>
      <c r="D19" s="37" t="s">
        <v>371</v>
      </c>
      <c r="E19" s="37" t="s">
        <v>121</v>
      </c>
      <c r="F19" s="37" t="s">
        <v>352</v>
      </c>
      <c r="G19" s="37" t="s">
        <v>118</v>
      </c>
      <c r="H19" s="38" t="s">
        <v>372</v>
      </c>
      <c r="I19" s="16">
        <v>250</v>
      </c>
      <c r="J19" s="16"/>
      <c r="K19" s="16" t="str">
        <f t="shared" si="2"/>
        <v>Debit</v>
      </c>
      <c r="L19" s="16" t="s">
        <v>121</v>
      </c>
      <c r="M19" s="16">
        <f t="shared" si="3"/>
        <v>-250</v>
      </c>
      <c r="N19" s="16"/>
      <c r="O19" s="16"/>
      <c r="P19" s="39"/>
      <c r="Q19" s="39"/>
      <c r="R19" s="39"/>
      <c r="S19" s="39"/>
      <c r="T19" s="39">
        <v>250</v>
      </c>
      <c r="U19" s="39"/>
      <c r="V19" s="39"/>
      <c r="W19" s="40"/>
      <c r="X19" s="40"/>
      <c r="Y19" s="40"/>
      <c r="Z19" s="40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40"/>
      <c r="AO19" s="40"/>
      <c r="AP19" s="40"/>
      <c r="AQ19" s="40"/>
      <c r="AR19" s="25">
        <f t="shared" si="4"/>
        <v>250</v>
      </c>
      <c r="AS19" s="25">
        <f t="shared" si="5"/>
        <v>0</v>
      </c>
    </row>
    <row r="20" spans="1:45">
      <c r="A20" s="17">
        <v>41340</v>
      </c>
      <c r="B20" s="41" t="s">
        <v>231</v>
      </c>
      <c r="C20" s="37"/>
      <c r="D20" s="37"/>
      <c r="E20" s="37" t="s">
        <v>121</v>
      </c>
      <c r="F20" s="37"/>
      <c r="G20" s="37" t="s">
        <v>27</v>
      </c>
      <c r="H20" s="38" t="s">
        <v>121</v>
      </c>
      <c r="I20" s="16"/>
      <c r="J20" s="16">
        <v>275</v>
      </c>
      <c r="K20" s="16" t="str">
        <f t="shared" ref="K20" si="6">IF(ISNUMBER(I20),"Debit",IF(ISNUMBER(J20),"Credit",""))</f>
        <v>Credit</v>
      </c>
      <c r="L20" s="16" t="s">
        <v>121</v>
      </c>
      <c r="M20" s="16">
        <f t="shared" ref="M20" si="7">IF(K20="Debit",-I20,J20)</f>
        <v>275</v>
      </c>
      <c r="N20" s="16"/>
      <c r="O20" s="16"/>
      <c r="P20" s="39"/>
      <c r="Q20" s="39"/>
      <c r="R20" s="39"/>
      <c r="S20" s="39"/>
      <c r="T20" s="39"/>
      <c r="U20" s="39">
        <v>275</v>
      </c>
      <c r="V20" s="39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25">
        <f t="shared" si="4"/>
        <v>0</v>
      </c>
      <c r="AS20" s="25">
        <f t="shared" si="5"/>
        <v>275</v>
      </c>
    </row>
    <row r="21" spans="1:45">
      <c r="A21" s="17">
        <v>41333</v>
      </c>
      <c r="B21" s="41" t="s">
        <v>231</v>
      </c>
      <c r="C21" s="37"/>
      <c r="D21" s="37"/>
      <c r="E21" s="37" t="s">
        <v>92</v>
      </c>
      <c r="F21" s="37"/>
      <c r="G21" s="37" t="s">
        <v>106</v>
      </c>
      <c r="H21" s="38" t="s">
        <v>318</v>
      </c>
      <c r="I21" s="16"/>
      <c r="J21" s="16">
        <v>50</v>
      </c>
      <c r="K21" s="16" t="str">
        <f t="shared" si="2"/>
        <v>Credit</v>
      </c>
      <c r="L21" s="16" t="s">
        <v>105</v>
      </c>
      <c r="M21" s="16">
        <f t="shared" si="3"/>
        <v>50</v>
      </c>
      <c r="N21" s="16"/>
      <c r="O21" s="16"/>
      <c r="P21" s="39"/>
      <c r="Q21" s="39"/>
      <c r="R21" s="39"/>
      <c r="S21" s="39"/>
      <c r="T21" s="39"/>
      <c r="U21" s="39"/>
      <c r="V21" s="39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>
        <v>50</v>
      </c>
      <c r="AR21" s="25">
        <f t="shared" si="4"/>
        <v>0</v>
      </c>
      <c r="AS21" s="25">
        <f t="shared" si="5"/>
        <v>50</v>
      </c>
    </row>
    <row r="22" spans="1:45">
      <c r="A22" s="17">
        <v>41320</v>
      </c>
      <c r="B22" s="41">
        <v>100151</v>
      </c>
      <c r="C22" s="37" t="s">
        <v>172</v>
      </c>
      <c r="D22" s="37" t="s">
        <v>359</v>
      </c>
      <c r="E22" s="37" t="s">
        <v>121</v>
      </c>
      <c r="F22" s="37" t="s">
        <v>357</v>
      </c>
      <c r="G22" s="37" t="s">
        <v>119</v>
      </c>
      <c r="H22" s="38" t="s">
        <v>358</v>
      </c>
      <c r="I22" s="16">
        <v>700</v>
      </c>
      <c r="J22" s="16"/>
      <c r="K22" s="16" t="str">
        <f t="shared" ref="K22" si="8">IF(ISNUMBER(I22),"Debit",IF(ISNUMBER(J22),"Credit",""))</f>
        <v>Debit</v>
      </c>
      <c r="L22" s="16" t="s">
        <v>121</v>
      </c>
      <c r="M22" s="16">
        <f t="shared" ref="M22" si="9">IF(K22="Debit",-I22,J22)</f>
        <v>-700</v>
      </c>
      <c r="N22" s="16"/>
      <c r="O22" s="16"/>
      <c r="P22" s="39"/>
      <c r="Q22" s="39"/>
      <c r="R22" s="39"/>
      <c r="S22" s="39"/>
      <c r="T22" s="39">
        <v>700</v>
      </c>
      <c r="U22" s="39"/>
      <c r="V22" s="39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40"/>
      <c r="AQ22" s="40"/>
      <c r="AR22" s="25">
        <f t="shared" si="4"/>
        <v>700</v>
      </c>
      <c r="AS22" s="25">
        <f t="shared" si="5"/>
        <v>0</v>
      </c>
    </row>
    <row r="23" spans="1:45">
      <c r="A23" s="17">
        <v>41319</v>
      </c>
      <c r="B23" s="41" t="s">
        <v>231</v>
      </c>
      <c r="C23" s="37"/>
      <c r="D23" s="37"/>
      <c r="E23" s="37" t="s">
        <v>121</v>
      </c>
      <c r="F23" s="37" t="s">
        <v>319</v>
      </c>
      <c r="G23" s="37" t="s">
        <v>27</v>
      </c>
      <c r="H23" s="38" t="s">
        <v>121</v>
      </c>
      <c r="I23" s="16"/>
      <c r="J23" s="16">
        <v>550</v>
      </c>
      <c r="K23" s="16" t="str">
        <f t="shared" si="2"/>
        <v>Credit</v>
      </c>
      <c r="L23" s="16" t="s">
        <v>121</v>
      </c>
      <c r="M23" s="16">
        <f t="shared" si="3"/>
        <v>550</v>
      </c>
      <c r="N23" s="16"/>
      <c r="O23" s="16"/>
      <c r="P23" s="39"/>
      <c r="Q23" s="39"/>
      <c r="R23" s="39"/>
      <c r="S23" s="39"/>
      <c r="T23" s="39"/>
      <c r="U23" s="39">
        <v>550</v>
      </c>
      <c r="V23" s="39"/>
      <c r="W23" s="40"/>
      <c r="X23" s="40"/>
      <c r="Y23" s="40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0"/>
      <c r="AO23" s="40"/>
      <c r="AP23" s="40"/>
      <c r="AQ23" s="40"/>
      <c r="AR23" s="25">
        <f t="shared" si="4"/>
        <v>0</v>
      </c>
      <c r="AS23" s="25">
        <f t="shared" si="5"/>
        <v>550</v>
      </c>
    </row>
    <row r="24" spans="1:45">
      <c r="A24" s="17">
        <v>41318</v>
      </c>
      <c r="B24" s="41" t="s">
        <v>231</v>
      </c>
      <c r="C24" s="37"/>
      <c r="D24" s="37"/>
      <c r="E24" s="37" t="s">
        <v>121</v>
      </c>
      <c r="F24" s="37" t="s">
        <v>336</v>
      </c>
      <c r="G24" s="37" t="s">
        <v>27</v>
      </c>
      <c r="H24" s="38" t="s">
        <v>335</v>
      </c>
      <c r="I24" s="16"/>
      <c r="J24" s="16">
        <v>825</v>
      </c>
      <c r="K24" s="16" t="str">
        <f t="shared" si="2"/>
        <v>Credit</v>
      </c>
      <c r="L24" s="16"/>
      <c r="M24" s="16">
        <f t="shared" si="3"/>
        <v>825</v>
      </c>
      <c r="N24" s="16"/>
      <c r="O24" s="16">
        <v>825</v>
      </c>
      <c r="P24" s="39"/>
      <c r="Q24" s="39"/>
      <c r="R24" s="39"/>
      <c r="S24" s="39"/>
      <c r="T24" s="39"/>
      <c r="U24" s="39"/>
      <c r="V24" s="39"/>
      <c r="W24" s="40"/>
      <c r="X24" s="40"/>
      <c r="Y24" s="40"/>
      <c r="Z24" s="40"/>
      <c r="AA24" s="40"/>
      <c r="AB24" s="40"/>
      <c r="AC24" s="40"/>
      <c r="AD24" s="40"/>
      <c r="AE24" s="40"/>
      <c r="AF24" s="40"/>
      <c r="AG24" s="40"/>
      <c r="AH24" s="40"/>
      <c r="AI24" s="40"/>
      <c r="AJ24" s="40"/>
      <c r="AK24" s="40"/>
      <c r="AL24" s="40"/>
      <c r="AM24" s="40"/>
      <c r="AN24" s="40"/>
      <c r="AO24" s="40"/>
      <c r="AP24" s="40"/>
      <c r="AQ24" s="40"/>
      <c r="AR24" s="25">
        <f t="shared" si="4"/>
        <v>0</v>
      </c>
      <c r="AS24" s="25">
        <f t="shared" si="5"/>
        <v>825</v>
      </c>
    </row>
    <row r="25" spans="1:45">
      <c r="A25" s="17">
        <v>41315</v>
      </c>
      <c r="B25" s="41" t="s">
        <v>183</v>
      </c>
      <c r="C25" s="37" t="s">
        <v>172</v>
      </c>
      <c r="D25" s="37" t="s">
        <v>362</v>
      </c>
      <c r="E25" s="37" t="s">
        <v>121</v>
      </c>
      <c r="F25" s="37" t="s">
        <v>319</v>
      </c>
      <c r="G25" s="37" t="s">
        <v>122</v>
      </c>
      <c r="H25" s="38" t="s">
        <v>258</v>
      </c>
      <c r="I25" s="16">
        <v>672</v>
      </c>
      <c r="J25" s="16"/>
      <c r="K25" s="16" t="str">
        <f t="shared" si="2"/>
        <v>Debit</v>
      </c>
      <c r="L25" s="16" t="s">
        <v>121</v>
      </c>
      <c r="M25" s="16">
        <f t="shared" si="3"/>
        <v>-672</v>
      </c>
      <c r="N25" s="16"/>
      <c r="O25" s="16"/>
      <c r="P25" s="39"/>
      <c r="Q25" s="39"/>
      <c r="R25" s="39"/>
      <c r="S25" s="39"/>
      <c r="T25" s="39">
        <v>672</v>
      </c>
      <c r="U25" s="39"/>
      <c r="V25" s="39"/>
      <c r="W25" s="40"/>
      <c r="X25" s="40"/>
      <c r="Y25" s="40"/>
      <c r="Z25" s="40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0"/>
      <c r="AL25" s="40"/>
      <c r="AM25" s="40"/>
      <c r="AN25" s="40"/>
      <c r="AO25" s="40"/>
      <c r="AP25" s="40"/>
      <c r="AQ25" s="40"/>
      <c r="AR25" s="25">
        <f t="shared" si="4"/>
        <v>672</v>
      </c>
      <c r="AS25" s="25">
        <f t="shared" si="5"/>
        <v>0</v>
      </c>
    </row>
    <row r="26" spans="1:45">
      <c r="A26" s="17">
        <v>41311</v>
      </c>
      <c r="B26" s="41" t="s">
        <v>183</v>
      </c>
      <c r="C26" s="37" t="s">
        <v>172</v>
      </c>
      <c r="D26" s="37" t="s">
        <v>334</v>
      </c>
      <c r="E26" s="37" t="s">
        <v>121</v>
      </c>
      <c r="F26" s="37" t="s">
        <v>266</v>
      </c>
      <c r="G26" s="37" t="s">
        <v>118</v>
      </c>
      <c r="H26" s="38" t="s">
        <v>317</v>
      </c>
      <c r="I26" s="16">
        <v>1000</v>
      </c>
      <c r="J26" s="16"/>
      <c r="K26" s="16" t="str">
        <f t="shared" si="2"/>
        <v>Debit</v>
      </c>
      <c r="L26" s="16" t="s">
        <v>121</v>
      </c>
      <c r="M26" s="16">
        <f t="shared" si="3"/>
        <v>-1000</v>
      </c>
      <c r="N26" s="16"/>
      <c r="O26" s="16"/>
      <c r="P26" s="39"/>
      <c r="Q26" s="39"/>
      <c r="R26" s="39"/>
      <c r="S26" s="39"/>
      <c r="T26" s="39">
        <v>1000</v>
      </c>
      <c r="U26" s="39"/>
      <c r="V26" s="39"/>
      <c r="W26" s="40"/>
      <c r="X26" s="40"/>
      <c r="Y26" s="40"/>
      <c r="Z26" s="40"/>
      <c r="AA26" s="40"/>
      <c r="AB26" s="40"/>
      <c r="AC26" s="40"/>
      <c r="AD26" s="40"/>
      <c r="AE26" s="40"/>
      <c r="AF26" s="40"/>
      <c r="AG26" s="40"/>
      <c r="AH26" s="40"/>
      <c r="AI26" s="40"/>
      <c r="AJ26" s="40"/>
      <c r="AK26" s="40"/>
      <c r="AL26" s="40"/>
      <c r="AM26" s="40"/>
      <c r="AN26" s="40"/>
      <c r="AO26" s="40"/>
      <c r="AP26" s="40"/>
      <c r="AQ26" s="40"/>
      <c r="AR26" s="25">
        <f t="shared" si="4"/>
        <v>1000</v>
      </c>
      <c r="AS26" s="25">
        <f t="shared" si="5"/>
        <v>0</v>
      </c>
    </row>
    <row r="27" spans="1:45">
      <c r="A27" s="17">
        <v>41310</v>
      </c>
      <c r="B27" s="41" t="s">
        <v>183</v>
      </c>
      <c r="C27" s="37" t="s">
        <v>172</v>
      </c>
      <c r="D27" s="37" t="s">
        <v>333</v>
      </c>
      <c r="E27" s="37" t="s">
        <v>121</v>
      </c>
      <c r="F27" s="37" t="s">
        <v>268</v>
      </c>
      <c r="G27" s="37" t="s">
        <v>118</v>
      </c>
      <c r="H27" s="38" t="s">
        <v>325</v>
      </c>
      <c r="I27" s="16">
        <v>250</v>
      </c>
      <c r="J27" s="16"/>
      <c r="K27" s="16" t="str">
        <f t="shared" si="2"/>
        <v>Debit</v>
      </c>
      <c r="L27" s="16" t="s">
        <v>121</v>
      </c>
      <c r="M27" s="16">
        <f t="shared" si="3"/>
        <v>-250</v>
      </c>
      <c r="N27" s="16"/>
      <c r="O27" s="16"/>
      <c r="P27" s="39"/>
      <c r="Q27" s="39"/>
      <c r="R27" s="39"/>
      <c r="S27" s="39"/>
      <c r="T27" s="39">
        <v>250</v>
      </c>
      <c r="U27" s="39"/>
      <c r="V27" s="39"/>
      <c r="W27" s="40"/>
      <c r="X27" s="40"/>
      <c r="Y27" s="40"/>
      <c r="Z27" s="40"/>
      <c r="AA27" s="40"/>
      <c r="AB27" s="40"/>
      <c r="AC27" s="40"/>
      <c r="AD27" s="40"/>
      <c r="AE27" s="40"/>
      <c r="AF27" s="40"/>
      <c r="AG27" s="40"/>
      <c r="AH27" s="40"/>
      <c r="AI27" s="40"/>
      <c r="AJ27" s="40"/>
      <c r="AK27" s="40"/>
      <c r="AL27" s="40"/>
      <c r="AM27" s="40"/>
      <c r="AN27" s="40"/>
      <c r="AO27" s="40"/>
      <c r="AP27" s="40"/>
      <c r="AQ27" s="40"/>
      <c r="AR27" s="25">
        <f t="shared" si="4"/>
        <v>250</v>
      </c>
      <c r="AS27" s="25">
        <f t="shared" si="5"/>
        <v>0</v>
      </c>
    </row>
    <row r="28" spans="1:45">
      <c r="A28" s="17">
        <v>41310</v>
      </c>
      <c r="B28" s="41" t="s">
        <v>183</v>
      </c>
      <c r="C28" s="37" t="s">
        <v>172</v>
      </c>
      <c r="D28" s="37" t="s">
        <v>332</v>
      </c>
      <c r="E28" s="37" t="s">
        <v>92</v>
      </c>
      <c r="F28" s="37"/>
      <c r="G28" s="37" t="s">
        <v>156</v>
      </c>
      <c r="H28" s="38" t="s">
        <v>315</v>
      </c>
      <c r="I28" s="16">
        <v>2238</v>
      </c>
      <c r="J28" s="16"/>
      <c r="K28" s="16" t="str">
        <f t="shared" si="2"/>
        <v>Debit</v>
      </c>
      <c r="L28" s="16"/>
      <c r="M28" s="16">
        <f t="shared" si="3"/>
        <v>-2238</v>
      </c>
      <c r="N28" s="16">
        <v>2238</v>
      </c>
      <c r="O28" s="16"/>
      <c r="P28" s="39"/>
      <c r="Q28" s="39"/>
      <c r="R28" s="39"/>
      <c r="S28" s="39"/>
      <c r="T28" s="39"/>
      <c r="U28" s="39"/>
      <c r="V28" s="39"/>
      <c r="W28" s="40"/>
      <c r="X28" s="40"/>
      <c r="Y28" s="40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0"/>
      <c r="AO28" s="40"/>
      <c r="AP28" s="40"/>
      <c r="AQ28" s="40"/>
      <c r="AR28" s="25">
        <f t="shared" si="4"/>
        <v>2238</v>
      </c>
      <c r="AS28" s="25">
        <f t="shared" si="5"/>
        <v>0</v>
      </c>
    </row>
    <row r="29" spans="1:45">
      <c r="A29" s="17">
        <v>41309</v>
      </c>
      <c r="B29" s="41" t="s">
        <v>183</v>
      </c>
      <c r="C29" s="37" t="s">
        <v>172</v>
      </c>
      <c r="D29" s="37" t="s">
        <v>330</v>
      </c>
      <c r="E29" s="37" t="s">
        <v>121</v>
      </c>
      <c r="F29" s="37" t="s">
        <v>268</v>
      </c>
      <c r="G29" s="37" t="s">
        <v>118</v>
      </c>
      <c r="H29" s="38" t="s">
        <v>188</v>
      </c>
      <c r="I29" s="16">
        <v>250</v>
      </c>
      <c r="J29" s="16"/>
      <c r="K29" s="16" t="str">
        <f t="shared" si="2"/>
        <v>Debit</v>
      </c>
      <c r="L29" s="16" t="s">
        <v>121</v>
      </c>
      <c r="M29" s="16">
        <f t="shared" si="3"/>
        <v>-250</v>
      </c>
      <c r="N29" s="16"/>
      <c r="O29" s="16"/>
      <c r="P29" s="39"/>
      <c r="Q29" s="39"/>
      <c r="R29" s="39"/>
      <c r="S29" s="39"/>
      <c r="T29" s="39">
        <v>250</v>
      </c>
      <c r="U29" s="39"/>
      <c r="V29" s="39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40"/>
      <c r="AJ29" s="40"/>
      <c r="AK29" s="40"/>
      <c r="AL29" s="40"/>
      <c r="AM29" s="40"/>
      <c r="AN29" s="40"/>
      <c r="AO29" s="40"/>
      <c r="AP29" s="40"/>
      <c r="AQ29" s="40"/>
      <c r="AR29" s="25">
        <f t="shared" si="4"/>
        <v>250</v>
      </c>
      <c r="AS29" s="25">
        <f t="shared" si="5"/>
        <v>0</v>
      </c>
    </row>
    <row r="30" spans="1:45">
      <c r="A30" s="17">
        <v>41305</v>
      </c>
      <c r="B30" s="41" t="s">
        <v>271</v>
      </c>
      <c r="C30" s="37"/>
      <c r="D30" s="37"/>
      <c r="E30" s="37" t="s">
        <v>121</v>
      </c>
      <c r="F30" s="37"/>
      <c r="G30" s="37" t="s">
        <v>27</v>
      </c>
      <c r="H30" s="38" t="s">
        <v>274</v>
      </c>
      <c r="I30" s="16">
        <v>4</v>
      </c>
      <c r="J30" s="16"/>
      <c r="K30" s="16" t="str">
        <f t="shared" si="2"/>
        <v>Debit</v>
      </c>
      <c r="L30" s="16" t="s">
        <v>121</v>
      </c>
      <c r="M30" s="16">
        <f t="shared" si="3"/>
        <v>-4</v>
      </c>
      <c r="N30" s="16"/>
      <c r="O30" s="16"/>
      <c r="P30" s="39"/>
      <c r="Q30" s="39"/>
      <c r="R30" s="39"/>
      <c r="S30" s="39"/>
      <c r="T30" s="39">
        <v>4</v>
      </c>
      <c r="U30" s="39"/>
      <c r="V30" s="39"/>
      <c r="W30" s="40"/>
      <c r="X30" s="40"/>
      <c r="Y30" s="40"/>
      <c r="Z30" s="40"/>
      <c r="AA30" s="40"/>
      <c r="AB30" s="40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0"/>
      <c r="AN30" s="40"/>
      <c r="AO30" s="40"/>
      <c r="AP30" s="40"/>
      <c r="AQ30" s="40"/>
      <c r="AR30" s="25">
        <f t="shared" si="4"/>
        <v>4</v>
      </c>
      <c r="AS30" s="25">
        <f t="shared" si="5"/>
        <v>0</v>
      </c>
    </row>
    <row r="31" spans="1:45">
      <c r="A31" s="17">
        <v>41305</v>
      </c>
      <c r="B31" s="41" t="s">
        <v>271</v>
      </c>
      <c r="C31" s="37"/>
      <c r="D31" s="37"/>
      <c r="E31" s="37" t="s">
        <v>121</v>
      </c>
      <c r="F31" s="37"/>
      <c r="G31" s="37" t="s">
        <v>27</v>
      </c>
      <c r="H31" s="38" t="s">
        <v>324</v>
      </c>
      <c r="I31" s="16">
        <v>275</v>
      </c>
      <c r="J31" s="16"/>
      <c r="K31" s="16" t="str">
        <f t="shared" si="2"/>
        <v>Debit</v>
      </c>
      <c r="L31" s="16" t="s">
        <v>121</v>
      </c>
      <c r="M31" s="16">
        <f t="shared" si="3"/>
        <v>-275</v>
      </c>
      <c r="N31" s="16"/>
      <c r="O31" s="16"/>
      <c r="P31" s="39"/>
      <c r="Q31" s="39"/>
      <c r="R31" s="39"/>
      <c r="S31" s="39"/>
      <c r="T31" s="39">
        <v>275</v>
      </c>
      <c r="U31" s="39"/>
      <c r="V31" s="39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0"/>
      <c r="AH31" s="40"/>
      <c r="AI31" s="40"/>
      <c r="AJ31" s="40"/>
      <c r="AK31" s="40"/>
      <c r="AL31" s="40"/>
      <c r="AM31" s="40"/>
      <c r="AN31" s="40"/>
      <c r="AO31" s="40"/>
      <c r="AP31" s="40"/>
      <c r="AQ31" s="40"/>
      <c r="AR31" s="25">
        <f t="shared" si="4"/>
        <v>275</v>
      </c>
      <c r="AS31" s="25">
        <f t="shared" si="5"/>
        <v>0</v>
      </c>
    </row>
    <row r="32" spans="1:45">
      <c r="A32" s="17">
        <v>41302</v>
      </c>
      <c r="B32" s="41" t="s">
        <v>231</v>
      </c>
      <c r="C32" s="37"/>
      <c r="D32" s="37"/>
      <c r="E32" s="37" t="s">
        <v>121</v>
      </c>
      <c r="F32" s="37" t="s">
        <v>319</v>
      </c>
      <c r="G32" s="37" t="s">
        <v>27</v>
      </c>
      <c r="H32" s="38" t="s">
        <v>322</v>
      </c>
      <c r="I32" s="16"/>
      <c r="J32" s="16">
        <v>1925</v>
      </c>
      <c r="K32" s="16" t="str">
        <f t="shared" si="2"/>
        <v>Credit</v>
      </c>
      <c r="L32" s="16" t="s">
        <v>121</v>
      </c>
      <c r="M32" s="16">
        <f t="shared" si="3"/>
        <v>1925</v>
      </c>
      <c r="N32" s="16"/>
      <c r="O32" s="16"/>
      <c r="P32" s="39"/>
      <c r="Q32" s="39"/>
      <c r="R32" s="39"/>
      <c r="S32" s="39"/>
      <c r="T32" s="39"/>
      <c r="U32" s="39">
        <v>1925</v>
      </c>
      <c r="V32" s="39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0"/>
      <c r="AN32" s="40"/>
      <c r="AO32" s="40"/>
      <c r="AP32" s="40"/>
      <c r="AQ32" s="40"/>
      <c r="AR32" s="25">
        <f t="shared" si="4"/>
        <v>0</v>
      </c>
      <c r="AS32" s="25">
        <f t="shared" si="5"/>
        <v>1925</v>
      </c>
    </row>
    <row r="33" spans="1:45">
      <c r="A33" s="17">
        <v>41302</v>
      </c>
      <c r="B33" s="41" t="s">
        <v>231</v>
      </c>
      <c r="C33" s="37"/>
      <c r="D33" s="37"/>
      <c r="E33" s="37"/>
      <c r="F33" s="37"/>
      <c r="G33" s="37"/>
      <c r="H33" s="38" t="s">
        <v>176</v>
      </c>
      <c r="I33" s="16"/>
      <c r="J33" s="16">
        <v>374</v>
      </c>
      <c r="K33" s="16" t="str">
        <f t="shared" si="2"/>
        <v>Credit</v>
      </c>
      <c r="L33" s="16"/>
      <c r="M33" s="16">
        <f t="shared" si="3"/>
        <v>374</v>
      </c>
      <c r="N33" s="16"/>
      <c r="O33" s="16">
        <v>374</v>
      </c>
      <c r="P33" s="39"/>
      <c r="Q33" s="39"/>
      <c r="R33" s="39"/>
      <c r="S33" s="39"/>
      <c r="T33" s="39"/>
      <c r="U33" s="39"/>
      <c r="V33" s="39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25">
        <f t="shared" si="4"/>
        <v>0</v>
      </c>
      <c r="AS33" s="25">
        <f t="shared" si="5"/>
        <v>374</v>
      </c>
    </row>
    <row r="34" spans="1:45">
      <c r="A34" s="17">
        <v>41296</v>
      </c>
      <c r="B34" s="41" t="s">
        <v>231</v>
      </c>
      <c r="C34" s="37"/>
      <c r="D34" s="37"/>
      <c r="E34" s="37" t="s">
        <v>92</v>
      </c>
      <c r="F34" s="37"/>
      <c r="G34" s="37" t="s">
        <v>106</v>
      </c>
      <c r="H34" s="38" t="s">
        <v>321</v>
      </c>
      <c r="I34" s="16"/>
      <c r="J34" s="16">
        <v>120</v>
      </c>
      <c r="K34" s="16" t="str">
        <f t="shared" si="2"/>
        <v>Credit</v>
      </c>
      <c r="L34" s="16" t="s">
        <v>105</v>
      </c>
      <c r="M34" s="16">
        <f t="shared" si="3"/>
        <v>120</v>
      </c>
      <c r="N34" s="16"/>
      <c r="O34" s="16"/>
      <c r="P34" s="39"/>
      <c r="Q34" s="39"/>
      <c r="R34" s="39"/>
      <c r="S34" s="39"/>
      <c r="T34" s="39"/>
      <c r="U34" s="39"/>
      <c r="V34" s="39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0"/>
      <c r="AH34" s="40"/>
      <c r="AI34" s="40"/>
      <c r="AJ34" s="40"/>
      <c r="AK34" s="40"/>
      <c r="AL34" s="40"/>
      <c r="AM34" s="40"/>
      <c r="AN34" s="40"/>
      <c r="AO34" s="40"/>
      <c r="AP34" s="40"/>
      <c r="AQ34" s="40">
        <v>120</v>
      </c>
      <c r="AR34" s="25">
        <f t="shared" si="4"/>
        <v>0</v>
      </c>
      <c r="AS34" s="25">
        <f t="shared" si="5"/>
        <v>120</v>
      </c>
    </row>
    <row r="35" spans="1:45">
      <c r="A35" s="17">
        <v>41294</v>
      </c>
      <c r="B35" s="41" t="s">
        <v>231</v>
      </c>
      <c r="C35" s="37"/>
      <c r="D35" s="37"/>
      <c r="E35" s="37" t="s">
        <v>92</v>
      </c>
      <c r="F35" s="37"/>
      <c r="G35" s="37" t="s">
        <v>106</v>
      </c>
      <c r="H35" s="38" t="s">
        <v>314</v>
      </c>
      <c r="I35" s="16"/>
      <c r="J35" s="16">
        <v>100</v>
      </c>
      <c r="K35" s="16" t="str">
        <f t="shared" si="2"/>
        <v>Credit</v>
      </c>
      <c r="L35" s="16" t="s">
        <v>105</v>
      </c>
      <c r="M35" s="16">
        <f t="shared" si="3"/>
        <v>100</v>
      </c>
      <c r="N35" s="16"/>
      <c r="O35" s="16"/>
      <c r="P35" s="39"/>
      <c r="Q35" s="39"/>
      <c r="R35" s="39"/>
      <c r="S35" s="39"/>
      <c r="T35" s="39"/>
      <c r="U35" s="39"/>
      <c r="V35" s="39"/>
      <c r="W35" s="40"/>
      <c r="X35" s="40"/>
      <c r="Y35" s="40"/>
      <c r="Z35" s="40"/>
      <c r="AA35" s="40"/>
      <c r="AB35" s="40"/>
      <c r="AC35" s="40"/>
      <c r="AD35" s="40"/>
      <c r="AE35" s="40"/>
      <c r="AF35" s="40"/>
      <c r="AG35" s="40"/>
      <c r="AH35" s="40"/>
      <c r="AI35" s="40"/>
      <c r="AJ35" s="40"/>
      <c r="AK35" s="40"/>
      <c r="AL35" s="40"/>
      <c r="AM35" s="40"/>
      <c r="AN35" s="40"/>
      <c r="AO35" s="40"/>
      <c r="AP35" s="40"/>
      <c r="AQ35" s="40">
        <v>100</v>
      </c>
      <c r="AR35" s="25">
        <f t="shared" si="4"/>
        <v>0</v>
      </c>
      <c r="AS35" s="25">
        <f t="shared" si="5"/>
        <v>100</v>
      </c>
    </row>
    <row r="36" spans="1:45">
      <c r="A36" s="17">
        <v>41291</v>
      </c>
      <c r="B36" s="41" t="s">
        <v>231</v>
      </c>
      <c r="C36" s="37"/>
      <c r="D36" s="37"/>
      <c r="E36" s="37" t="s">
        <v>92</v>
      </c>
      <c r="F36" s="37"/>
      <c r="G36" s="37" t="s">
        <v>106</v>
      </c>
      <c r="H36" s="38" t="s">
        <v>237</v>
      </c>
      <c r="I36" s="16"/>
      <c r="J36" s="16">
        <v>50</v>
      </c>
      <c r="K36" s="16" t="str">
        <f t="shared" si="2"/>
        <v>Credit</v>
      </c>
      <c r="L36" s="16" t="s">
        <v>105</v>
      </c>
      <c r="M36" s="16">
        <f t="shared" si="3"/>
        <v>50</v>
      </c>
      <c r="N36" s="16"/>
      <c r="O36" s="16"/>
      <c r="P36" s="39"/>
      <c r="Q36" s="39"/>
      <c r="R36" s="39"/>
      <c r="S36" s="39"/>
      <c r="T36" s="39"/>
      <c r="U36" s="39"/>
      <c r="V36" s="39"/>
      <c r="W36" s="40"/>
      <c r="X36" s="40"/>
      <c r="Y36" s="40"/>
      <c r="Z36" s="40"/>
      <c r="AA36" s="40"/>
      <c r="AB36" s="40"/>
      <c r="AC36" s="40"/>
      <c r="AD36" s="40"/>
      <c r="AE36" s="40"/>
      <c r="AF36" s="40"/>
      <c r="AG36" s="40"/>
      <c r="AH36" s="40"/>
      <c r="AI36" s="40"/>
      <c r="AJ36" s="40"/>
      <c r="AK36" s="40"/>
      <c r="AL36" s="40"/>
      <c r="AM36" s="40"/>
      <c r="AN36" s="40"/>
      <c r="AO36" s="40"/>
      <c r="AP36" s="40"/>
      <c r="AQ36" s="40">
        <v>50</v>
      </c>
      <c r="AR36" s="25">
        <f t="shared" si="4"/>
        <v>0</v>
      </c>
      <c r="AS36" s="25">
        <f t="shared" si="5"/>
        <v>50</v>
      </c>
    </row>
    <row r="37" spans="1:45">
      <c r="A37" s="17">
        <v>41277</v>
      </c>
      <c r="B37" s="41" t="s">
        <v>231</v>
      </c>
      <c r="C37" s="37"/>
      <c r="D37" s="37"/>
      <c r="E37" s="37" t="s">
        <v>121</v>
      </c>
      <c r="F37" s="37" t="s">
        <v>319</v>
      </c>
      <c r="G37" s="37" t="s">
        <v>27</v>
      </c>
      <c r="H37" s="38" t="s">
        <v>320</v>
      </c>
      <c r="I37" s="16"/>
      <c r="J37" s="16">
        <v>825</v>
      </c>
      <c r="K37" s="16" t="str">
        <f t="shared" si="2"/>
        <v>Credit</v>
      </c>
      <c r="L37" s="16" t="s">
        <v>121</v>
      </c>
      <c r="M37" s="16">
        <f t="shared" si="3"/>
        <v>825</v>
      </c>
      <c r="N37" s="16"/>
      <c r="O37" s="16"/>
      <c r="P37" s="39"/>
      <c r="Q37" s="39"/>
      <c r="R37" s="39"/>
      <c r="S37" s="39"/>
      <c r="T37" s="39"/>
      <c r="U37" s="39">
        <v>825</v>
      </c>
      <c r="V37" s="39"/>
      <c r="W37" s="40"/>
      <c r="X37" s="40"/>
      <c r="Y37" s="40"/>
      <c r="Z37" s="40"/>
      <c r="AA37" s="40"/>
      <c r="AB37" s="40"/>
      <c r="AC37" s="40"/>
      <c r="AD37" s="40"/>
      <c r="AE37" s="40"/>
      <c r="AF37" s="40"/>
      <c r="AG37" s="40"/>
      <c r="AH37" s="40"/>
      <c r="AI37" s="40"/>
      <c r="AJ37" s="40"/>
      <c r="AK37" s="40"/>
      <c r="AL37" s="40"/>
      <c r="AM37" s="40"/>
      <c r="AN37" s="40"/>
      <c r="AO37" s="40"/>
      <c r="AP37" s="40"/>
      <c r="AQ37" s="40"/>
      <c r="AR37" s="25">
        <f t="shared" ref="AR37:AR42" si="10">SUMIF($N$2:$AQ$2,"Debit",$N37:$AQ37)</f>
        <v>0</v>
      </c>
      <c r="AS37" s="25">
        <f t="shared" ref="AS37:AS42" si="11">SUMIF($N$2:$AQ$2,"Credit",$N37:$AQ37)</f>
        <v>825</v>
      </c>
    </row>
    <row r="38" spans="1:45">
      <c r="A38" s="17">
        <v>41276</v>
      </c>
      <c r="B38" s="41" t="s">
        <v>183</v>
      </c>
      <c r="C38" s="37" t="s">
        <v>172</v>
      </c>
      <c r="D38" s="37" t="s">
        <v>329</v>
      </c>
      <c r="E38" s="37" t="s">
        <v>121</v>
      </c>
      <c r="F38" s="37"/>
      <c r="G38" s="37" t="s">
        <v>118</v>
      </c>
      <c r="H38" s="38" t="s">
        <v>263</v>
      </c>
      <c r="I38" s="16">
        <v>500</v>
      </c>
      <c r="J38" s="16"/>
      <c r="K38" s="16" t="str">
        <f t="shared" si="2"/>
        <v>Debit</v>
      </c>
      <c r="L38" s="16" t="s">
        <v>121</v>
      </c>
      <c r="M38" s="16">
        <f t="shared" si="3"/>
        <v>-500</v>
      </c>
      <c r="N38" s="16"/>
      <c r="O38" s="16"/>
      <c r="P38" s="39"/>
      <c r="Q38" s="39"/>
      <c r="R38" s="39"/>
      <c r="S38" s="39"/>
      <c r="T38" s="39">
        <v>500</v>
      </c>
      <c r="U38" s="39"/>
      <c r="V38" s="39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25">
        <f t="shared" si="10"/>
        <v>500</v>
      </c>
      <c r="AS38" s="25">
        <f t="shared" si="11"/>
        <v>0</v>
      </c>
    </row>
    <row r="39" spans="1:45">
      <c r="A39" s="17">
        <v>41267</v>
      </c>
      <c r="B39" s="41" t="s">
        <v>231</v>
      </c>
      <c r="C39" s="37"/>
      <c r="D39" s="37"/>
      <c r="E39" s="37" t="s">
        <v>121</v>
      </c>
      <c r="F39" s="37"/>
      <c r="G39" s="37" t="s">
        <v>27</v>
      </c>
      <c r="H39" s="38" t="s">
        <v>311</v>
      </c>
      <c r="I39" s="16"/>
      <c r="J39" s="16">
        <v>500</v>
      </c>
      <c r="K39" s="16" t="str">
        <f t="shared" ref="K39:K42" si="12">IF(ISNUMBER(I39),"Debit",IF(ISNUMBER(J39),"Credit",""))</f>
        <v>Credit</v>
      </c>
      <c r="L39" s="16" t="s">
        <v>121</v>
      </c>
      <c r="M39" s="16">
        <f t="shared" ref="M39:M42" si="13">IF(K39="Debit",-I39,J39)</f>
        <v>500</v>
      </c>
      <c r="N39" s="16"/>
      <c r="O39" s="16"/>
      <c r="P39" s="39"/>
      <c r="Q39" s="39"/>
      <c r="R39" s="39"/>
      <c r="S39" s="39"/>
      <c r="T39" s="39"/>
      <c r="U39" s="39">
        <v>500</v>
      </c>
      <c r="V39" s="39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25">
        <f t="shared" si="10"/>
        <v>0</v>
      </c>
      <c r="AS39" s="25">
        <f t="shared" si="11"/>
        <v>500</v>
      </c>
    </row>
    <row r="40" spans="1:45">
      <c r="A40" s="17">
        <v>41260</v>
      </c>
      <c r="B40" s="41" t="s">
        <v>231</v>
      </c>
      <c r="C40" s="37"/>
      <c r="D40" s="37"/>
      <c r="E40" s="37"/>
      <c r="F40" s="37"/>
      <c r="G40" s="37" t="s">
        <v>161</v>
      </c>
      <c r="H40" s="38" t="s">
        <v>176</v>
      </c>
      <c r="I40" s="16"/>
      <c r="J40" s="16">
        <v>1500</v>
      </c>
      <c r="K40" s="16" t="str">
        <f t="shared" si="12"/>
        <v>Credit</v>
      </c>
      <c r="L40" s="16" t="s">
        <v>161</v>
      </c>
      <c r="M40" s="16">
        <f t="shared" si="13"/>
        <v>1500</v>
      </c>
      <c r="N40" s="16"/>
      <c r="O40" s="16"/>
      <c r="P40" s="39"/>
      <c r="Q40" s="39"/>
      <c r="R40" s="39"/>
      <c r="S40" s="39"/>
      <c r="T40" s="39"/>
      <c r="U40" s="39"/>
      <c r="V40" s="39"/>
      <c r="W40" s="40"/>
      <c r="X40" s="40"/>
      <c r="Y40" s="40"/>
      <c r="Z40" s="40"/>
      <c r="AA40" s="40"/>
      <c r="AB40" s="40"/>
      <c r="AC40" s="40"/>
      <c r="AD40" s="40"/>
      <c r="AE40" s="40"/>
      <c r="AF40" s="40"/>
      <c r="AG40" s="40"/>
      <c r="AH40" s="40"/>
      <c r="AI40" s="40"/>
      <c r="AJ40" s="40"/>
      <c r="AK40" s="40"/>
      <c r="AL40" s="40"/>
      <c r="AM40" s="40"/>
      <c r="AN40" s="40"/>
      <c r="AO40" s="40">
        <v>1500</v>
      </c>
      <c r="AP40" s="38"/>
      <c r="AQ40" s="38"/>
      <c r="AR40" s="25">
        <f t="shared" si="10"/>
        <v>0</v>
      </c>
      <c r="AS40" s="25">
        <f t="shared" si="11"/>
        <v>1500</v>
      </c>
    </row>
    <row r="41" spans="1:45">
      <c r="A41" s="17">
        <v>41249</v>
      </c>
      <c r="B41" s="41" t="s">
        <v>183</v>
      </c>
      <c r="C41" s="37" t="s">
        <v>172</v>
      </c>
      <c r="D41" s="37" t="s">
        <v>328</v>
      </c>
      <c r="E41" s="37" t="s">
        <v>121</v>
      </c>
      <c r="F41" s="37" t="s">
        <v>268</v>
      </c>
      <c r="G41" s="37" t="s">
        <v>118</v>
      </c>
      <c r="H41" s="38" t="s">
        <v>217</v>
      </c>
      <c r="I41" s="16">
        <v>1000</v>
      </c>
      <c r="J41" s="16"/>
      <c r="K41" s="16" t="str">
        <f t="shared" si="12"/>
        <v>Debit</v>
      </c>
      <c r="L41" s="16" t="s">
        <v>121</v>
      </c>
      <c r="M41" s="16">
        <f t="shared" si="13"/>
        <v>-1000</v>
      </c>
      <c r="N41" s="16"/>
      <c r="O41" s="16"/>
      <c r="P41" s="39"/>
      <c r="Q41" s="39"/>
      <c r="R41" s="39"/>
      <c r="S41" s="39"/>
      <c r="T41" s="39">
        <v>1000</v>
      </c>
      <c r="U41" s="39"/>
      <c r="V41" s="39"/>
      <c r="W41" s="40"/>
      <c r="X41" s="40"/>
      <c r="Y41" s="40"/>
      <c r="Z41" s="40"/>
      <c r="AA41" s="40"/>
      <c r="AB41" s="40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0"/>
      <c r="AN41" s="40"/>
      <c r="AO41" s="40"/>
      <c r="AP41" s="38"/>
      <c r="AQ41" s="38"/>
      <c r="AR41" s="25">
        <f t="shared" si="10"/>
        <v>1000</v>
      </c>
      <c r="AS41" s="25">
        <f t="shared" si="11"/>
        <v>0</v>
      </c>
    </row>
    <row r="42" spans="1:45">
      <c r="A42" s="17">
        <v>41249</v>
      </c>
      <c r="B42" s="41" t="s">
        <v>183</v>
      </c>
      <c r="C42" s="37" t="s">
        <v>172</v>
      </c>
      <c r="D42" s="37" t="s">
        <v>326</v>
      </c>
      <c r="E42" s="37" t="s">
        <v>121</v>
      </c>
      <c r="F42" s="37"/>
      <c r="G42" s="37" t="s">
        <v>307</v>
      </c>
      <c r="H42" s="38" t="s">
        <v>308</v>
      </c>
      <c r="I42" s="16">
        <v>247.5</v>
      </c>
      <c r="J42" s="16"/>
      <c r="K42" s="16" t="str">
        <f t="shared" si="12"/>
        <v>Debit</v>
      </c>
      <c r="L42" s="16" t="s">
        <v>121</v>
      </c>
      <c r="M42" s="16">
        <f t="shared" si="13"/>
        <v>-247.5</v>
      </c>
      <c r="N42" s="16"/>
      <c r="O42" s="16"/>
      <c r="P42" s="39"/>
      <c r="Q42" s="39"/>
      <c r="R42" s="39"/>
      <c r="S42" s="39"/>
      <c r="T42" s="39">
        <v>247.5</v>
      </c>
      <c r="U42" s="39"/>
      <c r="V42" s="39"/>
      <c r="W42" s="40"/>
      <c r="X42" s="40"/>
      <c r="Y42" s="40"/>
      <c r="Z42" s="40"/>
      <c r="AA42" s="40"/>
      <c r="AB42" s="40"/>
      <c r="AC42" s="40"/>
      <c r="AD42" s="40"/>
      <c r="AE42" s="40"/>
      <c r="AF42" s="40"/>
      <c r="AG42" s="40"/>
      <c r="AH42" s="40"/>
      <c r="AI42" s="40"/>
      <c r="AJ42" s="40"/>
      <c r="AK42" s="40"/>
      <c r="AL42" s="40"/>
      <c r="AM42" s="40"/>
      <c r="AN42" s="40"/>
      <c r="AO42" s="40"/>
      <c r="AP42" s="38"/>
      <c r="AQ42" s="38"/>
      <c r="AR42" s="25">
        <f t="shared" si="10"/>
        <v>247.5</v>
      </c>
      <c r="AS42" s="25">
        <f t="shared" si="11"/>
        <v>0</v>
      </c>
    </row>
    <row r="43" spans="1:45">
      <c r="A43" s="17">
        <v>41249</v>
      </c>
      <c r="B43" s="41" t="s">
        <v>183</v>
      </c>
      <c r="C43" s="37" t="s">
        <v>172</v>
      </c>
      <c r="D43" s="37" t="s">
        <v>327</v>
      </c>
      <c r="E43" s="37" t="s">
        <v>92</v>
      </c>
      <c r="F43" s="37"/>
      <c r="G43" s="37" t="s">
        <v>119</v>
      </c>
      <c r="H43" s="38" t="s">
        <v>306</v>
      </c>
      <c r="I43" s="16">
        <v>105.4</v>
      </c>
      <c r="J43" s="16"/>
      <c r="K43" s="16" t="str">
        <f t="shared" si="0"/>
        <v>Debit</v>
      </c>
      <c r="L43" s="16" t="s">
        <v>192</v>
      </c>
      <c r="M43" s="16">
        <f t="shared" si="1"/>
        <v>-105.4</v>
      </c>
      <c r="N43" s="16"/>
      <c r="O43" s="16"/>
      <c r="P43" s="39"/>
      <c r="Q43" s="39"/>
      <c r="R43" s="39"/>
      <c r="S43" s="39"/>
      <c r="T43" s="39"/>
      <c r="U43" s="39"/>
      <c r="V43" s="39">
        <v>105.4</v>
      </c>
      <c r="W43" s="40"/>
      <c r="X43" s="40"/>
      <c r="Y43" s="40"/>
      <c r="Z43" s="40"/>
      <c r="AA43" s="40"/>
      <c r="AB43" s="40"/>
      <c r="AC43" s="40"/>
      <c r="AD43" s="40"/>
      <c r="AE43" s="40"/>
      <c r="AF43" s="40"/>
      <c r="AG43" s="40"/>
      <c r="AH43" s="40"/>
      <c r="AI43" s="40"/>
      <c r="AJ43" s="40"/>
      <c r="AK43" s="40"/>
      <c r="AL43" s="40"/>
      <c r="AM43" s="40"/>
      <c r="AN43" s="40"/>
      <c r="AO43" s="40"/>
      <c r="AP43" s="38"/>
      <c r="AQ43" s="38"/>
      <c r="AR43" s="25">
        <f t="shared" ref="AR43:AR52" si="14">SUMIF($N$2:$AQ$2,"Debit",$N43:$AQ43)</f>
        <v>105.4</v>
      </c>
      <c r="AS43" s="25">
        <f t="shared" ref="AS43:AS52" si="15">SUMIF($N$2:$AQ$2,"Credit",$N43:$AQ43)</f>
        <v>0</v>
      </c>
    </row>
    <row r="44" spans="1:45">
      <c r="A44" s="17">
        <v>41248</v>
      </c>
      <c r="B44" s="41" t="s">
        <v>183</v>
      </c>
      <c r="C44" s="37" t="s">
        <v>172</v>
      </c>
      <c r="D44" s="37" t="s">
        <v>305</v>
      </c>
      <c r="E44" s="37" t="s">
        <v>121</v>
      </c>
      <c r="F44" s="37" t="s">
        <v>266</v>
      </c>
      <c r="G44" s="37" t="s">
        <v>120</v>
      </c>
      <c r="H44" s="38" t="s">
        <v>176</v>
      </c>
      <c r="I44" s="16">
        <v>420</v>
      </c>
      <c r="J44" s="16"/>
      <c r="K44" s="16" t="str">
        <f t="shared" si="0"/>
        <v>Debit</v>
      </c>
      <c r="L44" s="16" t="s">
        <v>121</v>
      </c>
      <c r="M44" s="16">
        <f t="shared" si="1"/>
        <v>-420</v>
      </c>
      <c r="N44" s="16"/>
      <c r="O44" s="16"/>
      <c r="P44" s="39"/>
      <c r="Q44" s="39"/>
      <c r="R44" s="39"/>
      <c r="S44" s="39"/>
      <c r="T44" s="39">
        <v>420</v>
      </c>
      <c r="U44" s="39"/>
      <c r="V44" s="39"/>
      <c r="W44" s="40"/>
      <c r="X44" s="40"/>
      <c r="Y44" s="40"/>
      <c r="Z44" s="40"/>
      <c r="AA44" s="40"/>
      <c r="AB44" s="40"/>
      <c r="AC44" s="40"/>
      <c r="AD44" s="40"/>
      <c r="AE44" s="40"/>
      <c r="AF44" s="40"/>
      <c r="AG44" s="40"/>
      <c r="AH44" s="40"/>
      <c r="AI44" s="40"/>
      <c r="AJ44" s="40"/>
      <c r="AK44" s="40"/>
      <c r="AL44" s="40"/>
      <c r="AM44" s="40"/>
      <c r="AN44" s="40"/>
      <c r="AO44" s="40"/>
      <c r="AP44" s="38"/>
      <c r="AQ44" s="38"/>
      <c r="AR44" s="25">
        <f t="shared" si="14"/>
        <v>420</v>
      </c>
      <c r="AS44" s="25">
        <f t="shared" si="15"/>
        <v>0</v>
      </c>
    </row>
    <row r="45" spans="1:45">
      <c r="A45" s="17">
        <v>41248</v>
      </c>
      <c r="B45" s="41" t="s">
        <v>183</v>
      </c>
      <c r="C45" s="37" t="s">
        <v>172</v>
      </c>
      <c r="D45" s="37" t="s">
        <v>305</v>
      </c>
      <c r="E45" s="37" t="s">
        <v>121</v>
      </c>
      <c r="F45" s="37" t="s">
        <v>260</v>
      </c>
      <c r="G45" s="37" t="s">
        <v>120</v>
      </c>
      <c r="H45" s="38" t="s">
        <v>176</v>
      </c>
      <c r="I45" s="16">
        <v>385</v>
      </c>
      <c r="J45" s="16"/>
      <c r="K45" s="16" t="str">
        <f t="shared" si="0"/>
        <v>Debit</v>
      </c>
      <c r="L45" s="16" t="s">
        <v>121</v>
      </c>
      <c r="M45" s="16">
        <f t="shared" si="1"/>
        <v>-385</v>
      </c>
      <c r="N45" s="16"/>
      <c r="O45" s="16"/>
      <c r="P45" s="39"/>
      <c r="Q45" s="39"/>
      <c r="R45" s="39"/>
      <c r="S45" s="39"/>
      <c r="T45" s="39">
        <v>385</v>
      </c>
      <c r="U45" s="39"/>
      <c r="V45" s="39"/>
      <c r="W45" s="40"/>
      <c r="X45" s="40"/>
      <c r="Y45" s="40"/>
      <c r="Z45" s="40"/>
      <c r="AA45" s="40"/>
      <c r="AB45" s="40"/>
      <c r="AC45" s="40"/>
      <c r="AD45" s="40"/>
      <c r="AE45" s="40"/>
      <c r="AF45" s="40"/>
      <c r="AG45" s="40"/>
      <c r="AH45" s="40"/>
      <c r="AI45" s="40"/>
      <c r="AJ45" s="40"/>
      <c r="AK45" s="40"/>
      <c r="AL45" s="40"/>
      <c r="AM45" s="40"/>
      <c r="AN45" s="40"/>
      <c r="AO45" s="40"/>
      <c r="AP45" s="38"/>
      <c r="AQ45" s="38"/>
      <c r="AR45" s="25">
        <f t="shared" si="14"/>
        <v>385</v>
      </c>
      <c r="AS45" s="25">
        <f t="shared" si="15"/>
        <v>0</v>
      </c>
    </row>
    <row r="46" spans="1:45">
      <c r="A46" s="17">
        <v>41248</v>
      </c>
      <c r="B46" s="41" t="s">
        <v>183</v>
      </c>
      <c r="C46" s="37" t="s">
        <v>172</v>
      </c>
      <c r="D46" s="37" t="s">
        <v>304</v>
      </c>
      <c r="E46" s="37" t="s">
        <v>121</v>
      </c>
      <c r="F46" s="37" t="s">
        <v>268</v>
      </c>
      <c r="G46" s="37" t="s">
        <v>122</v>
      </c>
      <c r="H46" s="38" t="s">
        <v>258</v>
      </c>
      <c r="I46" s="16">
        <v>864</v>
      </c>
      <c r="J46" s="16"/>
      <c r="K46" s="16" t="str">
        <f t="shared" si="0"/>
        <v>Debit</v>
      </c>
      <c r="L46" s="16" t="s">
        <v>121</v>
      </c>
      <c r="M46" s="16">
        <f t="shared" si="1"/>
        <v>-864</v>
      </c>
      <c r="N46" s="16"/>
      <c r="O46" s="16"/>
      <c r="P46" s="39"/>
      <c r="Q46" s="39"/>
      <c r="R46" s="39"/>
      <c r="S46" s="39"/>
      <c r="T46" s="39">
        <v>864</v>
      </c>
      <c r="U46" s="39"/>
      <c r="V46" s="39"/>
      <c r="W46" s="40"/>
      <c r="X46" s="40"/>
      <c r="Y46" s="40"/>
      <c r="Z46" s="40"/>
      <c r="AA46" s="40"/>
      <c r="AB46" s="40"/>
      <c r="AC46" s="40"/>
      <c r="AD46" s="40"/>
      <c r="AE46" s="40"/>
      <c r="AF46" s="40"/>
      <c r="AG46" s="40"/>
      <c r="AH46" s="40"/>
      <c r="AI46" s="40"/>
      <c r="AJ46" s="40"/>
      <c r="AK46" s="40"/>
      <c r="AL46" s="40"/>
      <c r="AM46" s="40"/>
      <c r="AN46" s="40"/>
      <c r="AO46" s="40"/>
      <c r="AP46" s="38"/>
      <c r="AQ46" s="38"/>
      <c r="AR46" s="25">
        <f t="shared" si="14"/>
        <v>864</v>
      </c>
      <c r="AS46" s="25">
        <f t="shared" si="15"/>
        <v>0</v>
      </c>
    </row>
    <row r="47" spans="1:45">
      <c r="A47" s="17">
        <v>41246</v>
      </c>
      <c r="B47" s="41" t="s">
        <v>231</v>
      </c>
      <c r="C47" s="37"/>
      <c r="D47" s="37" t="s">
        <v>299</v>
      </c>
      <c r="E47" s="37" t="s">
        <v>121</v>
      </c>
      <c r="F47" s="37" t="s">
        <v>266</v>
      </c>
      <c r="G47" s="37" t="s">
        <v>118</v>
      </c>
      <c r="H47" s="38" t="s">
        <v>310</v>
      </c>
      <c r="I47" s="16"/>
      <c r="J47" s="16">
        <v>750</v>
      </c>
      <c r="K47" s="16" t="str">
        <f t="shared" ref="K47" si="16">IF(ISNUMBER(I47),"Debit",IF(ISNUMBER(J47),"Credit",""))</f>
        <v>Credit</v>
      </c>
      <c r="L47" s="16" t="s">
        <v>121</v>
      </c>
      <c r="M47" s="16">
        <f t="shared" ref="M47" si="17">IF(K47="Debit",-I47,J47)</f>
        <v>750</v>
      </c>
      <c r="N47" s="16"/>
      <c r="O47" s="16"/>
      <c r="P47" s="39"/>
      <c r="Q47" s="39"/>
      <c r="R47" s="39"/>
      <c r="S47" s="39"/>
      <c r="T47" s="39"/>
      <c r="U47" s="39">
        <v>750</v>
      </c>
      <c r="V47" s="39"/>
      <c r="W47" s="40"/>
      <c r="X47" s="40"/>
      <c r="Y47" s="40"/>
      <c r="Z47" s="40"/>
      <c r="AA47" s="40"/>
      <c r="AB47" s="40"/>
      <c r="AC47" s="40"/>
      <c r="AD47" s="40"/>
      <c r="AE47" s="40"/>
      <c r="AF47" s="40"/>
      <c r="AG47" s="40"/>
      <c r="AH47" s="40"/>
      <c r="AI47" s="40"/>
      <c r="AJ47" s="40"/>
      <c r="AK47" s="40"/>
      <c r="AL47" s="40"/>
      <c r="AM47" s="40"/>
      <c r="AN47" s="40"/>
      <c r="AO47" s="40"/>
      <c r="AP47" s="38"/>
      <c r="AQ47" s="38"/>
      <c r="AR47" s="25">
        <f t="shared" si="14"/>
        <v>0</v>
      </c>
      <c r="AS47" s="25">
        <f t="shared" si="15"/>
        <v>750</v>
      </c>
    </row>
    <row r="48" spans="1:45">
      <c r="A48" s="17">
        <v>41244</v>
      </c>
      <c r="B48" s="41" t="s">
        <v>183</v>
      </c>
      <c r="C48" s="37" t="s">
        <v>172</v>
      </c>
      <c r="D48" s="37" t="s">
        <v>302</v>
      </c>
      <c r="E48" s="37" t="s">
        <v>121</v>
      </c>
      <c r="F48" s="37" t="s">
        <v>266</v>
      </c>
      <c r="G48" s="37" t="s">
        <v>118</v>
      </c>
      <c r="H48" s="38" t="s">
        <v>263</v>
      </c>
      <c r="I48" s="16">
        <v>500</v>
      </c>
      <c r="J48" s="16"/>
      <c r="K48" s="16" t="str">
        <f t="shared" si="0"/>
        <v>Debit</v>
      </c>
      <c r="L48" s="16" t="s">
        <v>121</v>
      </c>
      <c r="M48" s="16">
        <v>500</v>
      </c>
      <c r="N48" s="16"/>
      <c r="O48" s="16"/>
      <c r="P48" s="39"/>
      <c r="Q48" s="39"/>
      <c r="R48" s="39"/>
      <c r="S48" s="39"/>
      <c r="T48" s="39">
        <v>500</v>
      </c>
      <c r="U48" s="39"/>
      <c r="V48" s="39"/>
      <c r="W48" s="40"/>
      <c r="X48" s="40"/>
      <c r="Y48" s="40"/>
      <c r="Z48" s="40"/>
      <c r="AA48" s="40"/>
      <c r="AB48" s="40"/>
      <c r="AC48" s="40"/>
      <c r="AD48" s="40"/>
      <c r="AE48" s="40"/>
      <c r="AF48" s="40"/>
      <c r="AG48" s="40"/>
      <c r="AH48" s="40"/>
      <c r="AI48" s="40"/>
      <c r="AJ48" s="40"/>
      <c r="AK48" s="40"/>
      <c r="AL48" s="40"/>
      <c r="AM48" s="40"/>
      <c r="AN48" s="40"/>
      <c r="AO48" s="40"/>
      <c r="AP48" s="38"/>
      <c r="AQ48" s="38"/>
      <c r="AR48" s="25">
        <f t="shared" si="14"/>
        <v>500</v>
      </c>
      <c r="AS48" s="25">
        <f t="shared" si="15"/>
        <v>0</v>
      </c>
    </row>
    <row r="49" spans="1:45">
      <c r="A49" s="17">
        <v>41244</v>
      </c>
      <c r="B49" s="41" t="s">
        <v>183</v>
      </c>
      <c r="C49" s="37" t="s">
        <v>172</v>
      </c>
      <c r="D49" s="37" t="s">
        <v>301</v>
      </c>
      <c r="E49" s="37" t="s">
        <v>121</v>
      </c>
      <c r="F49" s="37" t="s">
        <v>266</v>
      </c>
      <c r="G49" s="37" t="s">
        <v>118</v>
      </c>
      <c r="H49" s="38" t="s">
        <v>263</v>
      </c>
      <c r="I49" s="16">
        <v>500</v>
      </c>
      <c r="J49" s="16"/>
      <c r="K49" s="16" t="str">
        <f t="shared" si="0"/>
        <v>Debit</v>
      </c>
      <c r="L49" s="16" t="s">
        <v>121</v>
      </c>
      <c r="M49" s="16">
        <v>500</v>
      </c>
      <c r="N49" s="16"/>
      <c r="O49" s="16"/>
      <c r="P49" s="39"/>
      <c r="Q49" s="39"/>
      <c r="R49" s="39"/>
      <c r="S49" s="39"/>
      <c r="T49" s="39">
        <v>500</v>
      </c>
      <c r="U49" s="39"/>
      <c r="V49" s="39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40"/>
      <c r="AI49" s="40"/>
      <c r="AJ49" s="40"/>
      <c r="AK49" s="40"/>
      <c r="AL49" s="40"/>
      <c r="AM49" s="40"/>
      <c r="AN49" s="40"/>
      <c r="AO49" s="40"/>
      <c r="AP49" s="38"/>
      <c r="AQ49" s="38"/>
      <c r="AR49" s="25">
        <f t="shared" si="14"/>
        <v>500</v>
      </c>
      <c r="AS49" s="25">
        <f t="shared" si="15"/>
        <v>0</v>
      </c>
    </row>
    <row r="50" spans="1:45">
      <c r="A50" s="17">
        <v>41244</v>
      </c>
      <c r="B50" s="41" t="s">
        <v>183</v>
      </c>
      <c r="C50" s="37" t="s">
        <v>172</v>
      </c>
      <c r="D50" s="37" t="s">
        <v>300</v>
      </c>
      <c r="E50" s="37" t="s">
        <v>121</v>
      </c>
      <c r="F50" s="37" t="s">
        <v>268</v>
      </c>
      <c r="G50" s="37" t="s">
        <v>166</v>
      </c>
      <c r="H50" s="38" t="s">
        <v>267</v>
      </c>
      <c r="I50" s="16">
        <v>24</v>
      </c>
      <c r="J50" s="16"/>
      <c r="K50" s="16" t="str">
        <f t="shared" si="0"/>
        <v>Debit</v>
      </c>
      <c r="L50" s="16" t="s">
        <v>121</v>
      </c>
      <c r="M50" s="16">
        <v>24</v>
      </c>
      <c r="N50" s="16"/>
      <c r="O50" s="16"/>
      <c r="P50" s="39"/>
      <c r="Q50" s="39"/>
      <c r="R50" s="39"/>
      <c r="S50" s="39"/>
      <c r="T50" s="39">
        <v>24</v>
      </c>
      <c r="U50" s="39"/>
      <c r="V50" s="39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38"/>
      <c r="AQ50" s="38"/>
      <c r="AR50" s="25">
        <f t="shared" si="14"/>
        <v>24</v>
      </c>
      <c r="AS50" s="25">
        <f t="shared" si="15"/>
        <v>0</v>
      </c>
    </row>
    <row r="51" spans="1:45">
      <c r="A51" s="17">
        <v>41244</v>
      </c>
      <c r="B51" s="41" t="s">
        <v>183</v>
      </c>
      <c r="C51" s="37" t="s">
        <v>172</v>
      </c>
      <c r="D51" s="37" t="s">
        <v>299</v>
      </c>
      <c r="E51" s="37" t="s">
        <v>121</v>
      </c>
      <c r="F51" s="37" t="s">
        <v>266</v>
      </c>
      <c r="G51" s="37" t="s">
        <v>118</v>
      </c>
      <c r="H51" s="38" t="s">
        <v>265</v>
      </c>
      <c r="I51" s="16">
        <v>750</v>
      </c>
      <c r="J51" s="16"/>
      <c r="K51" s="16" t="str">
        <f t="shared" si="0"/>
        <v>Debit</v>
      </c>
      <c r="L51" s="16" t="s">
        <v>121</v>
      </c>
      <c r="M51" s="16">
        <v>750</v>
      </c>
      <c r="N51" s="16"/>
      <c r="O51" s="16"/>
      <c r="P51" s="39"/>
      <c r="Q51" s="39"/>
      <c r="R51" s="39"/>
      <c r="S51" s="39"/>
      <c r="T51" s="39">
        <v>750</v>
      </c>
      <c r="U51" s="39"/>
      <c r="V51" s="39"/>
      <c r="W51" s="40"/>
      <c r="X51" s="40"/>
      <c r="Y51" s="40"/>
      <c r="Z51" s="40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0"/>
      <c r="AL51" s="40"/>
      <c r="AM51" s="40"/>
      <c r="AN51" s="40"/>
      <c r="AO51" s="40"/>
      <c r="AP51" s="38"/>
      <c r="AQ51" s="38"/>
      <c r="AR51" s="25">
        <f t="shared" si="14"/>
        <v>750</v>
      </c>
      <c r="AS51" s="25">
        <f t="shared" si="15"/>
        <v>0</v>
      </c>
    </row>
    <row r="52" spans="1:45">
      <c r="A52" s="17">
        <v>41244</v>
      </c>
      <c r="B52" s="41" t="s">
        <v>183</v>
      </c>
      <c r="C52" s="37" t="s">
        <v>172</v>
      </c>
      <c r="D52" s="37" t="s">
        <v>298</v>
      </c>
      <c r="E52" s="37" t="s">
        <v>121</v>
      </c>
      <c r="F52" s="37" t="s">
        <v>260</v>
      </c>
      <c r="G52" s="37" t="s">
        <v>119</v>
      </c>
      <c r="H52" s="38" t="s">
        <v>264</v>
      </c>
      <c r="I52" s="16">
        <v>450</v>
      </c>
      <c r="J52" s="16"/>
      <c r="K52" s="16" t="str">
        <f t="shared" si="0"/>
        <v>Debit</v>
      </c>
      <c r="L52" s="16" t="s">
        <v>121</v>
      </c>
      <c r="M52" s="16">
        <v>450</v>
      </c>
      <c r="N52" s="16"/>
      <c r="O52" s="16"/>
      <c r="P52" s="39"/>
      <c r="Q52" s="39"/>
      <c r="R52" s="39"/>
      <c r="S52" s="39"/>
      <c r="T52" s="39">
        <v>450</v>
      </c>
      <c r="U52" s="39"/>
      <c r="V52" s="39"/>
      <c r="W52" s="40"/>
      <c r="X52" s="40"/>
      <c r="Y52" s="40"/>
      <c r="Z52" s="40"/>
      <c r="AA52" s="40"/>
      <c r="AB52" s="40"/>
      <c r="AC52" s="40"/>
      <c r="AD52" s="40"/>
      <c r="AE52" s="40"/>
      <c r="AF52" s="40"/>
      <c r="AG52" s="40"/>
      <c r="AH52" s="40"/>
      <c r="AI52" s="40"/>
      <c r="AJ52" s="40"/>
      <c r="AK52" s="40"/>
      <c r="AL52" s="40"/>
      <c r="AM52" s="40"/>
      <c r="AN52" s="40"/>
      <c r="AO52" s="40"/>
      <c r="AP52" s="38"/>
      <c r="AQ52" s="38"/>
      <c r="AR52" s="25">
        <f t="shared" si="14"/>
        <v>450</v>
      </c>
      <c r="AS52" s="25">
        <f t="shared" si="15"/>
        <v>0</v>
      </c>
    </row>
    <row r="53" spans="1:45">
      <c r="A53" s="17">
        <v>41244</v>
      </c>
      <c r="B53" s="41" t="s">
        <v>183</v>
      </c>
      <c r="C53" s="37" t="s">
        <v>172</v>
      </c>
      <c r="D53" s="37" t="s">
        <v>297</v>
      </c>
      <c r="E53" s="37" t="s">
        <v>121</v>
      </c>
      <c r="F53" s="37" t="s">
        <v>268</v>
      </c>
      <c r="G53" s="37" t="s">
        <v>118</v>
      </c>
      <c r="H53" s="38" t="s">
        <v>263</v>
      </c>
      <c r="I53" s="16">
        <v>500</v>
      </c>
      <c r="J53" s="16"/>
      <c r="K53" s="16" t="str">
        <f t="shared" ref="K53:K79" si="18">IF(ISNUMBER(I53),"Debit",IF(ISNUMBER(J53),"Credit",""))</f>
        <v>Debit</v>
      </c>
      <c r="L53" s="16" t="s">
        <v>121</v>
      </c>
      <c r="M53" s="16">
        <f t="shared" ref="M53:M79" si="19">IF(K53="Debit",-I53,J53)</f>
        <v>-500</v>
      </c>
      <c r="N53" s="16"/>
      <c r="O53" s="16"/>
      <c r="P53" s="39"/>
      <c r="Q53" s="39"/>
      <c r="R53" s="39"/>
      <c r="S53" s="39"/>
      <c r="T53" s="39">
        <v>500</v>
      </c>
      <c r="U53" s="39"/>
      <c r="V53" s="39"/>
      <c r="W53" s="40"/>
      <c r="X53" s="40"/>
      <c r="Y53" s="40"/>
      <c r="Z53" s="40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0"/>
      <c r="AL53" s="40"/>
      <c r="AM53" s="40"/>
      <c r="AN53" s="40"/>
      <c r="AO53" s="40"/>
      <c r="AP53" s="38"/>
      <c r="AQ53" s="38"/>
      <c r="AR53" s="25">
        <f t="shared" ref="AR53:AR83" si="20">SUMIF($N$2:$AQ$2,"Debit",$N53:$AQ53)</f>
        <v>500</v>
      </c>
      <c r="AS53" s="25">
        <f t="shared" ref="AS53:AS83" si="21">SUMIF($N$2:$AQ$2,"Credit",$N53:$AQ53)</f>
        <v>0</v>
      </c>
    </row>
    <row r="54" spans="1:45">
      <c r="A54" s="17">
        <v>41239</v>
      </c>
      <c r="B54" s="41" t="s">
        <v>183</v>
      </c>
      <c r="C54" s="37"/>
      <c r="D54" s="37"/>
      <c r="E54" s="37" t="s">
        <v>121</v>
      </c>
      <c r="F54" s="37"/>
      <c r="G54" s="37" t="s">
        <v>307</v>
      </c>
      <c r="H54" s="38" t="s">
        <v>313</v>
      </c>
      <c r="I54" s="16">
        <v>495</v>
      </c>
      <c r="J54" s="16"/>
      <c r="K54" s="16" t="str">
        <f t="shared" si="18"/>
        <v>Debit</v>
      </c>
      <c r="L54" s="16" t="s">
        <v>121</v>
      </c>
      <c r="M54" s="16">
        <f t="shared" si="19"/>
        <v>-495</v>
      </c>
      <c r="N54" s="16"/>
      <c r="O54" s="16"/>
      <c r="P54" s="39"/>
      <c r="Q54" s="39"/>
      <c r="R54" s="39"/>
      <c r="S54" s="39"/>
      <c r="T54" s="39">
        <v>495</v>
      </c>
      <c r="U54" s="39"/>
      <c r="V54" s="39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38"/>
      <c r="AQ54" s="38"/>
      <c r="AR54" s="25">
        <f t="shared" si="20"/>
        <v>495</v>
      </c>
      <c r="AS54" s="25">
        <f t="shared" si="21"/>
        <v>0</v>
      </c>
    </row>
    <row r="55" spans="1:45">
      <c r="A55" s="17">
        <v>41229</v>
      </c>
      <c r="B55" s="41" t="s">
        <v>231</v>
      </c>
      <c r="C55" s="37"/>
      <c r="D55" s="37"/>
      <c r="E55" s="37" t="s">
        <v>121</v>
      </c>
      <c r="F55" s="37" t="s">
        <v>268</v>
      </c>
      <c r="G55" s="37" t="s">
        <v>27</v>
      </c>
      <c r="H55" s="38" t="s">
        <v>269</v>
      </c>
      <c r="I55" s="16"/>
      <c r="J55" s="16">
        <v>6190</v>
      </c>
      <c r="K55" s="16" t="str">
        <f t="shared" ref="K55" si="22">IF(ISNUMBER(I55),"Debit",IF(ISNUMBER(J55),"Credit",""))</f>
        <v>Credit</v>
      </c>
      <c r="L55" s="16" t="s">
        <v>121</v>
      </c>
      <c r="M55" s="16">
        <f t="shared" ref="M55" si="23">IF(K55="Debit",-I55,J55)</f>
        <v>6190</v>
      </c>
      <c r="N55" s="16"/>
      <c r="O55" s="16"/>
      <c r="P55" s="39"/>
      <c r="Q55" s="39"/>
      <c r="R55" s="39"/>
      <c r="S55" s="39"/>
      <c r="T55" s="39"/>
      <c r="U55" s="39">
        <f>J55</f>
        <v>6190</v>
      </c>
      <c r="V55" s="39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38"/>
      <c r="AQ55" s="38"/>
      <c r="AR55" s="25">
        <f t="shared" si="20"/>
        <v>0</v>
      </c>
      <c r="AS55" s="25">
        <f t="shared" si="21"/>
        <v>6190</v>
      </c>
    </row>
    <row r="56" spans="1:45">
      <c r="A56" s="17">
        <v>41214</v>
      </c>
      <c r="B56" s="41" t="s">
        <v>183</v>
      </c>
      <c r="C56" s="37" t="s">
        <v>172</v>
      </c>
      <c r="D56" s="37" t="s">
        <v>296</v>
      </c>
      <c r="E56" s="37" t="s">
        <v>121</v>
      </c>
      <c r="F56" s="37" t="s">
        <v>260</v>
      </c>
      <c r="G56" s="37" t="s">
        <v>118</v>
      </c>
      <c r="H56" s="38" t="s">
        <v>261</v>
      </c>
      <c r="I56" s="16">
        <v>750</v>
      </c>
      <c r="J56" s="16"/>
      <c r="K56" s="16" t="str">
        <f t="shared" si="18"/>
        <v>Debit</v>
      </c>
      <c r="L56" s="16" t="s">
        <v>121</v>
      </c>
      <c r="M56" s="16">
        <f t="shared" si="19"/>
        <v>-750</v>
      </c>
      <c r="N56" s="16"/>
      <c r="O56" s="16"/>
      <c r="P56" s="39"/>
      <c r="Q56" s="39"/>
      <c r="R56" s="39"/>
      <c r="S56" s="39"/>
      <c r="T56" s="39">
        <v>750</v>
      </c>
      <c r="U56" s="39"/>
      <c r="V56" s="39"/>
      <c r="W56" s="40"/>
      <c r="X56" s="40"/>
      <c r="Y56" s="40"/>
      <c r="Z56" s="40"/>
      <c r="AA56" s="40"/>
      <c r="AB56" s="40"/>
      <c r="AC56" s="40"/>
      <c r="AD56" s="40"/>
      <c r="AE56" s="40"/>
      <c r="AF56" s="40"/>
      <c r="AG56" s="40"/>
      <c r="AH56" s="40"/>
      <c r="AI56" s="40"/>
      <c r="AJ56" s="40"/>
      <c r="AK56" s="40"/>
      <c r="AL56" s="40"/>
      <c r="AM56" s="40"/>
      <c r="AN56" s="40"/>
      <c r="AO56" s="40"/>
      <c r="AP56" s="38"/>
      <c r="AQ56" s="38"/>
      <c r="AR56" s="25">
        <f t="shared" si="20"/>
        <v>750</v>
      </c>
      <c r="AS56" s="25">
        <f t="shared" si="21"/>
        <v>0</v>
      </c>
    </row>
    <row r="57" spans="1:45">
      <c r="A57" s="17">
        <v>41213</v>
      </c>
      <c r="B57" s="41" t="s">
        <v>183</v>
      </c>
      <c r="C57" s="37" t="s">
        <v>172</v>
      </c>
      <c r="D57" s="37" t="s">
        <v>294</v>
      </c>
      <c r="E57" s="37" t="s">
        <v>92</v>
      </c>
      <c r="F57" s="37"/>
      <c r="G57" s="37" t="s">
        <v>147</v>
      </c>
      <c r="H57" s="1" t="s">
        <v>181</v>
      </c>
      <c r="I57" s="16">
        <v>218</v>
      </c>
      <c r="J57" s="16"/>
      <c r="K57" s="16" t="str">
        <f t="shared" ref="K57:K65" si="24">IF(ISNUMBER(I57),"Debit",IF(ISNUMBER(J57),"Credit",""))</f>
        <v>Debit</v>
      </c>
      <c r="L57" s="16" t="s">
        <v>147</v>
      </c>
      <c r="M57" s="16">
        <f t="shared" ref="M57:M65" si="25">IF(K57="Debit",-I57,J57)</f>
        <v>-218</v>
      </c>
      <c r="N57" s="16"/>
      <c r="O57" s="16"/>
      <c r="P57" s="39"/>
      <c r="Q57" s="39"/>
      <c r="R57" s="39"/>
      <c r="S57" s="39"/>
      <c r="T57" s="39"/>
      <c r="U57" s="39"/>
      <c r="V57" s="39">
        <v>218</v>
      </c>
      <c r="W57" s="40"/>
      <c r="X57" s="40"/>
      <c r="Y57" s="40"/>
      <c r="Z57" s="40"/>
      <c r="AA57" s="40"/>
      <c r="AB57" s="40"/>
      <c r="AC57" s="40"/>
      <c r="AD57" s="40"/>
      <c r="AE57" s="40"/>
      <c r="AF57" s="40"/>
      <c r="AG57" s="40"/>
      <c r="AH57" s="40"/>
      <c r="AI57" s="40"/>
      <c r="AJ57" s="40"/>
      <c r="AK57" s="40"/>
      <c r="AL57" s="40"/>
      <c r="AM57" s="40"/>
      <c r="AN57" s="40"/>
      <c r="AO57" s="40"/>
      <c r="AP57" s="38"/>
      <c r="AQ57" s="38"/>
      <c r="AR57" s="25">
        <f t="shared" si="20"/>
        <v>218</v>
      </c>
      <c r="AS57" s="25">
        <f t="shared" si="21"/>
        <v>0</v>
      </c>
    </row>
    <row r="58" spans="1:45">
      <c r="A58" s="17">
        <v>41213</v>
      </c>
      <c r="B58" s="41" t="s">
        <v>183</v>
      </c>
      <c r="C58" s="37" t="s">
        <v>172</v>
      </c>
      <c r="D58" s="37" t="s">
        <v>289</v>
      </c>
      <c r="E58" s="37" t="s">
        <v>92</v>
      </c>
      <c r="F58" s="37"/>
      <c r="G58" s="37" t="s">
        <v>106</v>
      </c>
      <c r="H58" s="1" t="s">
        <v>181</v>
      </c>
      <c r="I58" s="16">
        <v>683.9</v>
      </c>
      <c r="J58" s="16"/>
      <c r="K58" s="16" t="str">
        <f t="shared" si="24"/>
        <v>Debit</v>
      </c>
      <c r="L58" s="16" t="s">
        <v>105</v>
      </c>
      <c r="M58" s="16">
        <f t="shared" si="25"/>
        <v>-683.9</v>
      </c>
      <c r="N58" s="16"/>
      <c r="O58" s="16"/>
      <c r="P58" s="39"/>
      <c r="Q58" s="39"/>
      <c r="R58" s="39"/>
      <c r="S58" s="39"/>
      <c r="T58" s="39"/>
      <c r="U58" s="39"/>
      <c r="V58" s="39"/>
      <c r="W58" s="40"/>
      <c r="X58" s="40"/>
      <c r="Y58" s="40"/>
      <c r="Z58" s="40"/>
      <c r="AA58" s="40"/>
      <c r="AB58" s="40"/>
      <c r="AC58" s="40"/>
      <c r="AD58" s="40"/>
      <c r="AE58" s="40"/>
      <c r="AF58" s="40"/>
      <c r="AG58" s="40"/>
      <c r="AH58" s="40"/>
      <c r="AI58" s="40"/>
      <c r="AJ58" s="40"/>
      <c r="AK58" s="40"/>
      <c r="AL58" s="40"/>
      <c r="AM58" s="40"/>
      <c r="AN58" s="40"/>
      <c r="AO58" s="40"/>
      <c r="AP58" s="38">
        <v>683.9</v>
      </c>
      <c r="AQ58" s="38"/>
      <c r="AR58" s="25">
        <f t="shared" si="20"/>
        <v>683.9</v>
      </c>
      <c r="AS58" s="25">
        <f t="shared" si="21"/>
        <v>0</v>
      </c>
    </row>
    <row r="59" spans="1:45">
      <c r="A59" s="17">
        <v>41213</v>
      </c>
      <c r="B59" s="41" t="s">
        <v>183</v>
      </c>
      <c r="C59" s="37" t="s">
        <v>172</v>
      </c>
      <c r="D59" s="37" t="s">
        <v>288</v>
      </c>
      <c r="E59" s="37" t="s">
        <v>92</v>
      </c>
      <c r="F59" s="37"/>
      <c r="G59" s="37" t="s">
        <v>137</v>
      </c>
      <c r="H59" s="1" t="s">
        <v>181</v>
      </c>
      <c r="I59" s="16">
        <v>51.09</v>
      </c>
      <c r="J59" s="16"/>
      <c r="K59" s="16" t="str">
        <f t="shared" si="24"/>
        <v>Debit</v>
      </c>
      <c r="L59" s="16" t="s">
        <v>146</v>
      </c>
      <c r="M59" s="16">
        <f t="shared" si="25"/>
        <v>-51.09</v>
      </c>
      <c r="N59" s="16"/>
      <c r="O59" s="16"/>
      <c r="P59" s="39"/>
      <c r="Q59" s="39"/>
      <c r="R59" s="39"/>
      <c r="S59" s="39"/>
      <c r="T59" s="39"/>
      <c r="U59" s="39"/>
      <c r="V59" s="39">
        <v>51.09</v>
      </c>
      <c r="W59" s="40"/>
      <c r="X59" s="40"/>
      <c r="Y59" s="40"/>
      <c r="Z59" s="40"/>
      <c r="AA59" s="40"/>
      <c r="AB59" s="40"/>
      <c r="AC59" s="40"/>
      <c r="AD59" s="40"/>
      <c r="AE59" s="40"/>
      <c r="AF59" s="40"/>
      <c r="AG59" s="40"/>
      <c r="AH59" s="40"/>
      <c r="AI59" s="40"/>
      <c r="AJ59" s="40"/>
      <c r="AK59" s="40"/>
      <c r="AL59" s="40"/>
      <c r="AM59" s="40"/>
      <c r="AN59" s="40"/>
      <c r="AO59" s="40"/>
      <c r="AP59" s="38"/>
      <c r="AQ59" s="38"/>
      <c r="AR59" s="25">
        <f t="shared" si="20"/>
        <v>51.09</v>
      </c>
      <c r="AS59" s="25">
        <f t="shared" si="21"/>
        <v>0</v>
      </c>
    </row>
    <row r="60" spans="1:45">
      <c r="A60" s="17">
        <v>41213</v>
      </c>
      <c r="B60" s="41" t="s">
        <v>183</v>
      </c>
      <c r="C60" s="37" t="s">
        <v>172</v>
      </c>
      <c r="D60" s="37" t="s">
        <v>292</v>
      </c>
      <c r="E60" s="37" t="s">
        <v>136</v>
      </c>
      <c r="F60" s="37"/>
      <c r="G60" s="37" t="s">
        <v>293</v>
      </c>
      <c r="H60" s="1" t="s">
        <v>257</v>
      </c>
      <c r="I60" s="16">
        <v>1400</v>
      </c>
      <c r="J60" s="16"/>
      <c r="K60" s="16" t="str">
        <f t="shared" si="24"/>
        <v>Debit</v>
      </c>
      <c r="L60" s="16" t="s">
        <v>136</v>
      </c>
      <c r="M60" s="16">
        <f t="shared" si="25"/>
        <v>-1400</v>
      </c>
      <c r="N60" s="16"/>
      <c r="O60" s="16"/>
      <c r="P60" s="39"/>
      <c r="Q60" s="39"/>
      <c r="R60" s="39"/>
      <c r="S60" s="39"/>
      <c r="T60" s="39"/>
      <c r="U60" s="39"/>
      <c r="V60" s="39"/>
      <c r="W60" s="40"/>
      <c r="X60" s="40">
        <v>1400</v>
      </c>
      <c r="Y60" s="40"/>
      <c r="Z60" s="40"/>
      <c r="AA60" s="40"/>
      <c r="AB60" s="40"/>
      <c r="AC60" s="40"/>
      <c r="AD60" s="40"/>
      <c r="AE60" s="40"/>
      <c r="AF60" s="40"/>
      <c r="AG60" s="40"/>
      <c r="AH60" s="40"/>
      <c r="AI60" s="40"/>
      <c r="AJ60" s="40"/>
      <c r="AK60" s="40"/>
      <c r="AL60" s="40"/>
      <c r="AM60" s="40"/>
      <c r="AN60" s="40"/>
      <c r="AO60" s="40"/>
      <c r="AP60" s="38"/>
      <c r="AQ60" s="38"/>
      <c r="AR60" s="25">
        <f t="shared" si="20"/>
        <v>1400</v>
      </c>
      <c r="AS60" s="25">
        <f t="shared" si="21"/>
        <v>0</v>
      </c>
    </row>
    <row r="61" spans="1:45">
      <c r="A61" s="17">
        <v>41213</v>
      </c>
      <c r="B61" s="41" t="s">
        <v>183</v>
      </c>
      <c r="C61" s="37" t="s">
        <v>172</v>
      </c>
      <c r="D61" s="37" t="s">
        <v>292</v>
      </c>
      <c r="E61" s="37" t="s">
        <v>136</v>
      </c>
      <c r="F61" s="37"/>
      <c r="G61" s="37" t="s">
        <v>119</v>
      </c>
      <c r="H61" s="1" t="s">
        <v>257</v>
      </c>
      <c r="I61" s="16">
        <v>20</v>
      </c>
      <c r="J61" s="16"/>
      <c r="K61" s="16" t="str">
        <f t="shared" si="24"/>
        <v>Debit</v>
      </c>
      <c r="L61" s="16" t="s">
        <v>136</v>
      </c>
      <c r="M61" s="16">
        <f t="shared" si="25"/>
        <v>-20</v>
      </c>
      <c r="N61" s="16"/>
      <c r="O61" s="16"/>
      <c r="P61" s="39"/>
      <c r="Q61" s="39"/>
      <c r="R61" s="39"/>
      <c r="S61" s="39"/>
      <c r="T61" s="39"/>
      <c r="U61" s="39"/>
      <c r="V61" s="39"/>
      <c r="W61" s="40"/>
      <c r="X61" s="40">
        <v>20</v>
      </c>
      <c r="Y61" s="40"/>
      <c r="Z61" s="40"/>
      <c r="AA61" s="40"/>
      <c r="AB61" s="40"/>
      <c r="AC61" s="40"/>
      <c r="AD61" s="40"/>
      <c r="AE61" s="40"/>
      <c r="AF61" s="40"/>
      <c r="AG61" s="40"/>
      <c r="AH61" s="40"/>
      <c r="AI61" s="40"/>
      <c r="AJ61" s="40"/>
      <c r="AK61" s="40"/>
      <c r="AL61" s="40"/>
      <c r="AM61" s="40"/>
      <c r="AN61" s="40"/>
      <c r="AO61" s="40"/>
      <c r="AP61" s="38"/>
      <c r="AQ61" s="38"/>
      <c r="AR61" s="25">
        <f t="shared" si="20"/>
        <v>20</v>
      </c>
      <c r="AS61" s="25">
        <f t="shared" si="21"/>
        <v>0</v>
      </c>
    </row>
    <row r="62" spans="1:45">
      <c r="A62" s="17">
        <v>41213</v>
      </c>
      <c r="B62" s="41" t="s">
        <v>183</v>
      </c>
      <c r="C62" s="37" t="s">
        <v>172</v>
      </c>
      <c r="D62" s="37" t="s">
        <v>292</v>
      </c>
      <c r="E62" s="37" t="s">
        <v>136</v>
      </c>
      <c r="F62" s="37"/>
      <c r="G62" s="37" t="s">
        <v>134</v>
      </c>
      <c r="H62" s="1" t="s">
        <v>257</v>
      </c>
      <c r="I62" s="16">
        <v>102.5</v>
      </c>
      <c r="J62" s="16"/>
      <c r="K62" s="16" t="str">
        <f t="shared" si="24"/>
        <v>Debit</v>
      </c>
      <c r="L62" s="16" t="s">
        <v>136</v>
      </c>
      <c r="M62" s="16">
        <f t="shared" si="25"/>
        <v>-102.5</v>
      </c>
      <c r="N62" s="16"/>
      <c r="O62" s="16"/>
      <c r="P62" s="39"/>
      <c r="Q62" s="39"/>
      <c r="R62" s="39"/>
      <c r="S62" s="39"/>
      <c r="T62" s="39"/>
      <c r="U62" s="39"/>
      <c r="V62" s="39"/>
      <c r="W62" s="40"/>
      <c r="X62" s="40">
        <v>102.5</v>
      </c>
      <c r="Y62" s="40"/>
      <c r="Z62" s="40"/>
      <c r="AA62" s="40"/>
      <c r="AB62" s="40"/>
      <c r="AC62" s="40"/>
      <c r="AD62" s="40"/>
      <c r="AE62" s="40"/>
      <c r="AF62" s="40"/>
      <c r="AG62" s="40"/>
      <c r="AH62" s="40"/>
      <c r="AI62" s="40"/>
      <c r="AJ62" s="40"/>
      <c r="AK62" s="40"/>
      <c r="AL62" s="40"/>
      <c r="AM62" s="40"/>
      <c r="AN62" s="40"/>
      <c r="AO62" s="40"/>
      <c r="AP62" s="38"/>
      <c r="AQ62" s="38"/>
      <c r="AR62" s="25">
        <f t="shared" si="20"/>
        <v>102.5</v>
      </c>
      <c r="AS62" s="25">
        <f t="shared" si="21"/>
        <v>0</v>
      </c>
    </row>
    <row r="63" spans="1:45">
      <c r="A63" s="17">
        <v>41213</v>
      </c>
      <c r="B63" s="41" t="s">
        <v>183</v>
      </c>
      <c r="C63" s="37" t="s">
        <v>172</v>
      </c>
      <c r="D63" s="37" t="s">
        <v>290</v>
      </c>
      <c r="E63" s="37" t="s">
        <v>136</v>
      </c>
      <c r="F63" s="37"/>
      <c r="G63" s="37" t="s">
        <v>119</v>
      </c>
      <c r="H63" s="1" t="s">
        <v>257</v>
      </c>
      <c r="I63" s="16">
        <v>217.5</v>
      </c>
      <c r="J63" s="16"/>
      <c r="K63" s="16" t="str">
        <f t="shared" si="24"/>
        <v>Debit</v>
      </c>
      <c r="L63" s="16" t="s">
        <v>136</v>
      </c>
      <c r="M63" s="16">
        <f t="shared" si="25"/>
        <v>-217.5</v>
      </c>
      <c r="N63" s="16"/>
      <c r="O63" s="16"/>
      <c r="P63" s="39"/>
      <c r="Q63" s="39"/>
      <c r="R63" s="39"/>
      <c r="S63" s="39"/>
      <c r="T63" s="39"/>
      <c r="U63" s="39"/>
      <c r="V63" s="39"/>
      <c r="W63" s="40"/>
      <c r="X63" s="40">
        <v>217.5</v>
      </c>
      <c r="Y63" s="40"/>
      <c r="Z63" s="40"/>
      <c r="AA63" s="40"/>
      <c r="AB63" s="40"/>
      <c r="AC63" s="40"/>
      <c r="AD63" s="40"/>
      <c r="AE63" s="40"/>
      <c r="AF63" s="40"/>
      <c r="AG63" s="40"/>
      <c r="AH63" s="40"/>
      <c r="AI63" s="40"/>
      <c r="AJ63" s="40"/>
      <c r="AK63" s="40"/>
      <c r="AL63" s="40"/>
      <c r="AM63" s="40"/>
      <c r="AN63" s="40"/>
      <c r="AO63" s="40"/>
      <c r="AP63" s="38"/>
      <c r="AQ63" s="38"/>
      <c r="AR63" s="25">
        <f t="shared" si="20"/>
        <v>217.5</v>
      </c>
      <c r="AS63" s="25">
        <f t="shared" si="21"/>
        <v>0</v>
      </c>
    </row>
    <row r="64" spans="1:45">
      <c r="A64" s="17">
        <v>41213</v>
      </c>
      <c r="B64" s="41" t="s">
        <v>183</v>
      </c>
      <c r="C64" s="37" t="s">
        <v>172</v>
      </c>
      <c r="D64" s="37" t="s">
        <v>290</v>
      </c>
      <c r="E64" s="37" t="s">
        <v>92</v>
      </c>
      <c r="F64" s="37"/>
      <c r="G64" s="37" t="s">
        <v>142</v>
      </c>
      <c r="H64" s="1" t="s">
        <v>291</v>
      </c>
      <c r="I64" s="16">
        <v>198.25</v>
      </c>
      <c r="J64" s="16"/>
      <c r="K64" s="16" t="str">
        <f t="shared" si="24"/>
        <v>Debit</v>
      </c>
      <c r="L64" s="16" t="s">
        <v>79</v>
      </c>
      <c r="M64" s="16">
        <f t="shared" si="25"/>
        <v>-198.25</v>
      </c>
      <c r="N64" s="16"/>
      <c r="O64" s="16"/>
      <c r="P64" s="39"/>
      <c r="Q64" s="39"/>
      <c r="R64" s="39">
        <v>198.25</v>
      </c>
      <c r="S64" s="39"/>
      <c r="T64" s="39"/>
      <c r="U64" s="39"/>
      <c r="V64" s="39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40"/>
      <c r="AI64" s="40"/>
      <c r="AJ64" s="40"/>
      <c r="AK64" s="40"/>
      <c r="AL64" s="40"/>
      <c r="AM64" s="40"/>
      <c r="AN64" s="40"/>
      <c r="AO64" s="40"/>
      <c r="AP64" s="38"/>
      <c r="AQ64" s="38"/>
      <c r="AR64" s="25">
        <f t="shared" si="20"/>
        <v>198.25</v>
      </c>
      <c r="AS64" s="25">
        <f t="shared" si="21"/>
        <v>0</v>
      </c>
    </row>
    <row r="65" spans="1:45">
      <c r="A65" s="17">
        <v>41213</v>
      </c>
      <c r="B65" s="41" t="s">
        <v>183</v>
      </c>
      <c r="C65" s="37" t="s">
        <v>172</v>
      </c>
      <c r="D65" s="37" t="s">
        <v>290</v>
      </c>
      <c r="E65" s="37" t="s">
        <v>136</v>
      </c>
      <c r="F65" s="37"/>
      <c r="G65" s="37" t="s">
        <v>134</v>
      </c>
      <c r="H65" s="1" t="s">
        <v>257</v>
      </c>
      <c r="I65" s="16">
        <v>163</v>
      </c>
      <c r="J65" s="16"/>
      <c r="K65" s="16" t="str">
        <f t="shared" si="24"/>
        <v>Debit</v>
      </c>
      <c r="L65" s="16" t="s">
        <v>136</v>
      </c>
      <c r="M65" s="16">
        <f t="shared" si="25"/>
        <v>-163</v>
      </c>
      <c r="N65" s="16"/>
      <c r="O65" s="16"/>
      <c r="P65" s="39"/>
      <c r="Q65" s="39"/>
      <c r="R65" s="39"/>
      <c r="S65" s="39"/>
      <c r="T65" s="39"/>
      <c r="U65" s="39"/>
      <c r="V65" s="39"/>
      <c r="W65" s="40"/>
      <c r="X65" s="40">
        <v>163</v>
      </c>
      <c r="Y65" s="40"/>
      <c r="Z65" s="40"/>
      <c r="AA65" s="40"/>
      <c r="AB65" s="40"/>
      <c r="AC65" s="40"/>
      <c r="AD65" s="40"/>
      <c r="AE65" s="40"/>
      <c r="AF65" s="40"/>
      <c r="AG65" s="40"/>
      <c r="AH65" s="40"/>
      <c r="AI65" s="40"/>
      <c r="AJ65" s="40"/>
      <c r="AK65" s="40"/>
      <c r="AL65" s="40"/>
      <c r="AM65" s="40"/>
      <c r="AN65" s="40"/>
      <c r="AO65" s="40"/>
      <c r="AP65" s="38"/>
      <c r="AQ65" s="38"/>
      <c r="AR65" s="25">
        <f t="shared" si="20"/>
        <v>163</v>
      </c>
      <c r="AS65" s="25">
        <f t="shared" si="21"/>
        <v>0</v>
      </c>
    </row>
    <row r="66" spans="1:45">
      <c r="A66" s="17">
        <v>41212</v>
      </c>
      <c r="B66" s="41" t="s">
        <v>231</v>
      </c>
      <c r="C66" s="37"/>
      <c r="D66" s="37"/>
      <c r="E66" s="37" t="s">
        <v>92</v>
      </c>
      <c r="F66" s="37"/>
      <c r="G66" s="37" t="s">
        <v>4</v>
      </c>
      <c r="H66" s="38" t="s">
        <v>277</v>
      </c>
      <c r="I66" s="16"/>
      <c r="J66" s="16">
        <v>1.44</v>
      </c>
      <c r="K66" s="16" t="str">
        <f t="shared" ref="K66" si="26">IF(ISNUMBER(I66),"Debit",IF(ISNUMBER(J66),"Credit",""))</f>
        <v>Credit</v>
      </c>
      <c r="L66" s="16" t="s">
        <v>4</v>
      </c>
      <c r="M66" s="16">
        <f t="shared" ref="M66" si="27">IF(K66="Debit",-I66,J66)</f>
        <v>1.44</v>
      </c>
      <c r="N66" s="16"/>
      <c r="O66" s="16"/>
      <c r="P66" s="39"/>
      <c r="Q66" s="39"/>
      <c r="R66" s="39"/>
      <c r="S66" s="39"/>
      <c r="T66" s="39"/>
      <c r="U66" s="39"/>
      <c r="V66" s="39"/>
      <c r="W66" s="40"/>
      <c r="X66" s="40"/>
      <c r="Y66" s="40"/>
      <c r="Z66" s="40"/>
      <c r="AA66" s="40"/>
      <c r="AB66" s="40"/>
      <c r="AC66" s="40"/>
      <c r="AD66" s="40"/>
      <c r="AE66" s="40"/>
      <c r="AF66" s="40"/>
      <c r="AG66" s="40"/>
      <c r="AH66" s="40"/>
      <c r="AI66" s="40">
        <v>1.44</v>
      </c>
      <c r="AJ66" s="40"/>
      <c r="AK66" s="40"/>
      <c r="AL66" s="40"/>
      <c r="AM66" s="40"/>
      <c r="AN66" s="40"/>
      <c r="AO66" s="40"/>
      <c r="AP66" s="38"/>
      <c r="AQ66" s="38"/>
      <c r="AR66" s="25">
        <f t="shared" si="20"/>
        <v>0</v>
      </c>
      <c r="AS66" s="25">
        <f t="shared" si="21"/>
        <v>1.44</v>
      </c>
    </row>
    <row r="67" spans="1:45">
      <c r="A67" s="17">
        <v>41211</v>
      </c>
      <c r="B67" s="41" t="s">
        <v>271</v>
      </c>
      <c r="C67" s="37"/>
      <c r="D67" s="37"/>
      <c r="E67" s="37" t="s">
        <v>121</v>
      </c>
      <c r="F67" s="37"/>
      <c r="G67" s="37" t="s">
        <v>36</v>
      </c>
      <c r="H67" s="38" t="s">
        <v>275</v>
      </c>
      <c r="I67" s="16">
        <v>4</v>
      </c>
      <c r="J67" s="16"/>
      <c r="K67" s="16" t="str">
        <f t="shared" si="18"/>
        <v>Debit</v>
      </c>
      <c r="L67" s="16" t="s">
        <v>121</v>
      </c>
      <c r="M67" s="16">
        <f t="shared" si="19"/>
        <v>-4</v>
      </c>
      <c r="N67" s="16"/>
      <c r="O67" s="16"/>
      <c r="P67" s="39"/>
      <c r="Q67" s="39"/>
      <c r="R67" s="39"/>
      <c r="S67" s="39"/>
      <c r="T67" s="39">
        <v>4</v>
      </c>
      <c r="U67" s="39"/>
      <c r="V67" s="39"/>
      <c r="W67" s="40"/>
      <c r="X67" s="40"/>
      <c r="Y67" s="40"/>
      <c r="Z67" s="40"/>
      <c r="AA67" s="40"/>
      <c r="AB67" s="40"/>
      <c r="AC67" s="40"/>
      <c r="AD67" s="40"/>
      <c r="AE67" s="40"/>
      <c r="AF67" s="40"/>
      <c r="AG67" s="40"/>
      <c r="AH67" s="40"/>
      <c r="AI67" s="40"/>
      <c r="AJ67" s="40"/>
      <c r="AK67" s="40"/>
      <c r="AL67" s="40"/>
      <c r="AM67" s="40"/>
      <c r="AN67" s="40"/>
      <c r="AO67" s="40"/>
      <c r="AP67" s="38"/>
      <c r="AQ67" s="38"/>
      <c r="AR67" s="25">
        <f t="shared" si="20"/>
        <v>4</v>
      </c>
      <c r="AS67" s="25">
        <f t="shared" si="21"/>
        <v>0</v>
      </c>
    </row>
    <row r="68" spans="1:45">
      <c r="A68" s="17">
        <v>41210</v>
      </c>
      <c r="B68" s="41" t="s">
        <v>183</v>
      </c>
      <c r="C68" s="37" t="s">
        <v>172</v>
      </c>
      <c r="D68" s="37" t="s">
        <v>363</v>
      </c>
      <c r="E68" s="37" t="s">
        <v>121</v>
      </c>
      <c r="F68" s="37" t="s">
        <v>266</v>
      </c>
      <c r="G68" s="37" t="s">
        <v>122</v>
      </c>
      <c r="H68" s="38" t="s">
        <v>258</v>
      </c>
      <c r="I68" s="16">
        <v>702</v>
      </c>
      <c r="J68" s="16"/>
      <c r="K68" s="16" t="str">
        <f t="shared" si="18"/>
        <v>Debit</v>
      </c>
      <c r="L68" s="16" t="s">
        <v>121</v>
      </c>
      <c r="M68" s="16">
        <f t="shared" si="19"/>
        <v>-702</v>
      </c>
      <c r="N68" s="16"/>
      <c r="O68" s="16"/>
      <c r="P68" s="39"/>
      <c r="Q68" s="39"/>
      <c r="R68" s="39"/>
      <c r="S68" s="39"/>
      <c r="T68" s="39">
        <v>702</v>
      </c>
      <c r="U68" s="39"/>
      <c r="V68" s="39"/>
      <c r="W68" s="40"/>
      <c r="X68" s="40"/>
      <c r="Y68" s="40"/>
      <c r="Z68" s="40"/>
      <c r="AA68" s="40"/>
      <c r="AB68" s="40"/>
      <c r="AC68" s="40"/>
      <c r="AD68" s="40"/>
      <c r="AE68" s="40"/>
      <c r="AF68" s="40"/>
      <c r="AG68" s="40"/>
      <c r="AH68" s="40"/>
      <c r="AI68" s="40"/>
      <c r="AJ68" s="40"/>
      <c r="AK68" s="40"/>
      <c r="AL68" s="40"/>
      <c r="AM68" s="40"/>
      <c r="AN68" s="40"/>
      <c r="AO68" s="40"/>
      <c r="AP68" s="38"/>
      <c r="AQ68" s="38"/>
      <c r="AR68" s="25">
        <f t="shared" si="20"/>
        <v>702</v>
      </c>
      <c r="AS68" s="25">
        <f t="shared" si="21"/>
        <v>0</v>
      </c>
    </row>
    <row r="69" spans="1:45">
      <c r="A69" s="17">
        <v>41206</v>
      </c>
      <c r="B69" s="41" t="s">
        <v>231</v>
      </c>
      <c r="C69" s="37"/>
      <c r="D69" s="37"/>
      <c r="E69" s="37" t="s">
        <v>121</v>
      </c>
      <c r="F69" s="37"/>
      <c r="G69" s="37" t="s">
        <v>27</v>
      </c>
      <c r="H69" s="38" t="s">
        <v>121</v>
      </c>
      <c r="I69" s="16"/>
      <c r="J69" s="16">
        <v>4207.5</v>
      </c>
      <c r="K69" s="16" t="str">
        <f t="shared" si="18"/>
        <v>Credit</v>
      </c>
      <c r="L69" s="16" t="s">
        <v>121</v>
      </c>
      <c r="M69" s="16">
        <f t="shared" si="19"/>
        <v>4207.5</v>
      </c>
      <c r="N69" s="16"/>
      <c r="O69" s="16"/>
      <c r="P69" s="39"/>
      <c r="Q69" s="39"/>
      <c r="R69" s="39"/>
      <c r="S69" s="39"/>
      <c r="T69" s="39"/>
      <c r="U69" s="39">
        <v>4207.5</v>
      </c>
      <c r="V69" s="39"/>
      <c r="W69" s="40"/>
      <c r="X69" s="40"/>
      <c r="Y69" s="40"/>
      <c r="Z69" s="40"/>
      <c r="AA69" s="40"/>
      <c r="AB69" s="40"/>
      <c r="AC69" s="40"/>
      <c r="AD69" s="40"/>
      <c r="AE69" s="40"/>
      <c r="AF69" s="40"/>
      <c r="AG69" s="40"/>
      <c r="AH69" s="40"/>
      <c r="AI69" s="40"/>
      <c r="AJ69" s="40"/>
      <c r="AK69" s="40"/>
      <c r="AL69" s="40"/>
      <c r="AM69" s="40"/>
      <c r="AN69" s="40"/>
      <c r="AO69" s="40"/>
      <c r="AP69" s="38"/>
      <c r="AQ69" s="38"/>
      <c r="AR69" s="25">
        <f t="shared" si="20"/>
        <v>0</v>
      </c>
      <c r="AS69" s="25">
        <f t="shared" si="21"/>
        <v>4207.5</v>
      </c>
    </row>
    <row r="70" spans="1:45">
      <c r="A70" s="17">
        <v>41194</v>
      </c>
      <c r="B70" s="41">
        <v>100150</v>
      </c>
      <c r="C70" s="37" t="s">
        <v>172</v>
      </c>
      <c r="D70" s="37" t="s">
        <v>287</v>
      </c>
      <c r="E70" s="37" t="s">
        <v>121</v>
      </c>
      <c r="F70" s="37" t="s">
        <v>260</v>
      </c>
      <c r="G70" s="37" t="s">
        <v>122</v>
      </c>
      <c r="H70" s="38" t="s">
        <v>258</v>
      </c>
      <c r="I70" s="16">
        <v>768</v>
      </c>
      <c r="J70" s="16"/>
      <c r="K70" s="16" t="str">
        <f t="shared" si="18"/>
        <v>Debit</v>
      </c>
      <c r="L70" s="16" t="s">
        <v>121</v>
      </c>
      <c r="M70" s="16">
        <f t="shared" si="19"/>
        <v>-768</v>
      </c>
      <c r="N70" s="16"/>
      <c r="O70" s="16"/>
      <c r="P70" s="39"/>
      <c r="Q70" s="39"/>
      <c r="R70" s="39"/>
      <c r="S70" s="39"/>
      <c r="T70" s="39">
        <v>768</v>
      </c>
      <c r="U70" s="39"/>
      <c r="V70" s="39"/>
      <c r="W70" s="40"/>
      <c r="X70" s="40"/>
      <c r="Y70" s="40"/>
      <c r="Z70" s="40"/>
      <c r="AA70" s="40"/>
      <c r="AB70" s="40"/>
      <c r="AC70" s="40"/>
      <c r="AD70" s="40"/>
      <c r="AE70" s="40"/>
      <c r="AF70" s="40"/>
      <c r="AG70" s="40"/>
      <c r="AH70" s="40"/>
      <c r="AI70" s="40"/>
      <c r="AJ70" s="40"/>
      <c r="AK70" s="40"/>
      <c r="AL70" s="40"/>
      <c r="AM70" s="40"/>
      <c r="AN70" s="40"/>
      <c r="AO70" s="40"/>
      <c r="AP70" s="38"/>
      <c r="AQ70" s="38"/>
      <c r="AR70" s="25">
        <f t="shared" si="20"/>
        <v>768</v>
      </c>
      <c r="AS70" s="25">
        <f t="shared" si="21"/>
        <v>0</v>
      </c>
    </row>
    <row r="71" spans="1:45">
      <c r="A71" s="17">
        <v>41190</v>
      </c>
      <c r="B71" s="41" t="s">
        <v>231</v>
      </c>
      <c r="C71" s="37"/>
      <c r="D71" s="37"/>
      <c r="E71" s="37" t="s">
        <v>136</v>
      </c>
      <c r="F71" s="37"/>
      <c r="G71" s="37" t="s">
        <v>131</v>
      </c>
      <c r="H71" s="38" t="s">
        <v>176</v>
      </c>
      <c r="I71" s="16"/>
      <c r="J71" s="16">
        <v>1500</v>
      </c>
      <c r="K71" s="16" t="str">
        <f t="shared" si="18"/>
        <v>Credit</v>
      </c>
      <c r="L71" s="16" t="s">
        <v>136</v>
      </c>
      <c r="M71" s="16">
        <f t="shared" si="19"/>
        <v>1500</v>
      </c>
      <c r="N71" s="16"/>
      <c r="O71" s="16"/>
      <c r="P71" s="39"/>
      <c r="Q71" s="39"/>
      <c r="R71" s="39"/>
      <c r="S71" s="39"/>
      <c r="T71" s="39"/>
      <c r="U71" s="39"/>
      <c r="V71" s="39"/>
      <c r="W71" s="40"/>
      <c r="X71" s="40"/>
      <c r="Y71" s="40">
        <v>1500</v>
      </c>
      <c r="Z71" s="40"/>
      <c r="AA71" s="40"/>
      <c r="AB71" s="40"/>
      <c r="AC71" s="40"/>
      <c r="AD71" s="40"/>
      <c r="AE71" s="40"/>
      <c r="AF71" s="40"/>
      <c r="AG71" s="40"/>
      <c r="AH71" s="40"/>
      <c r="AI71" s="40"/>
      <c r="AJ71" s="40"/>
      <c r="AK71" s="40"/>
      <c r="AL71" s="40"/>
      <c r="AM71" s="40"/>
      <c r="AN71" s="40"/>
      <c r="AO71" s="40"/>
      <c r="AP71" s="38"/>
      <c r="AQ71" s="38"/>
      <c r="AR71" s="25">
        <f t="shared" si="20"/>
        <v>0</v>
      </c>
      <c r="AS71" s="25">
        <f t="shared" si="21"/>
        <v>1500</v>
      </c>
    </row>
    <row r="72" spans="1:45">
      <c r="A72" s="17">
        <v>41190</v>
      </c>
      <c r="B72" s="41" t="s">
        <v>231</v>
      </c>
      <c r="C72" s="37"/>
      <c r="D72" s="37"/>
      <c r="E72" s="37" t="s">
        <v>121</v>
      </c>
      <c r="F72" s="37" t="s">
        <v>268</v>
      </c>
      <c r="G72" s="37" t="s">
        <v>27</v>
      </c>
      <c r="H72" s="38" t="s">
        <v>278</v>
      </c>
      <c r="I72" s="16"/>
      <c r="J72" s="16">
        <v>740</v>
      </c>
      <c r="K72" s="16" t="str">
        <f t="shared" ref="K72:K74" si="28">IF(ISNUMBER(I72),"Debit",IF(ISNUMBER(J72),"Credit",""))</f>
        <v>Credit</v>
      </c>
      <c r="L72" s="16" t="s">
        <v>121</v>
      </c>
      <c r="M72" s="16">
        <f t="shared" ref="M72:M74" si="29">IF(K72="Debit",-I72,J72)</f>
        <v>740</v>
      </c>
      <c r="N72" s="16"/>
      <c r="O72" s="16"/>
      <c r="P72" s="39"/>
      <c r="Q72" s="39"/>
      <c r="R72" s="39"/>
      <c r="S72" s="39"/>
      <c r="T72" s="39"/>
      <c r="U72" s="39">
        <v>740</v>
      </c>
      <c r="V72" s="39"/>
      <c r="W72" s="40"/>
      <c r="X72" s="40"/>
      <c r="Y72" s="40"/>
      <c r="Z72" s="40"/>
      <c r="AA72" s="40"/>
      <c r="AB72" s="40"/>
      <c r="AC72" s="40"/>
      <c r="AD72" s="40"/>
      <c r="AE72" s="40"/>
      <c r="AF72" s="40"/>
      <c r="AG72" s="40"/>
      <c r="AH72" s="40"/>
      <c r="AI72" s="40"/>
      <c r="AJ72" s="40"/>
      <c r="AK72" s="40"/>
      <c r="AL72" s="40"/>
      <c r="AM72" s="40"/>
      <c r="AN72" s="40"/>
      <c r="AO72" s="40"/>
      <c r="AP72" s="38"/>
      <c r="AQ72" s="38"/>
      <c r="AR72" s="25">
        <f t="shared" si="20"/>
        <v>0</v>
      </c>
      <c r="AS72" s="25">
        <f t="shared" si="21"/>
        <v>740</v>
      </c>
    </row>
    <row r="73" spans="1:45">
      <c r="A73" s="17">
        <v>41190</v>
      </c>
      <c r="B73" s="41" t="s">
        <v>231</v>
      </c>
      <c r="C73" s="37"/>
      <c r="D73" s="37"/>
      <c r="E73" s="37" t="s">
        <v>121</v>
      </c>
      <c r="F73" s="37"/>
      <c r="G73" s="37" t="s">
        <v>27</v>
      </c>
      <c r="H73" s="38" t="s">
        <v>121</v>
      </c>
      <c r="I73" s="16"/>
      <c r="J73" s="16">
        <v>275</v>
      </c>
      <c r="K73" s="16" t="str">
        <f t="shared" si="28"/>
        <v>Credit</v>
      </c>
      <c r="L73" s="16" t="s">
        <v>121</v>
      </c>
      <c r="M73" s="16">
        <f t="shared" si="29"/>
        <v>275</v>
      </c>
      <c r="N73" s="16"/>
      <c r="O73" s="16"/>
      <c r="P73" s="39"/>
      <c r="Q73" s="39"/>
      <c r="R73" s="39"/>
      <c r="S73" s="39"/>
      <c r="T73" s="39"/>
      <c r="U73" s="39">
        <v>275</v>
      </c>
      <c r="V73" s="39"/>
      <c r="W73" s="40"/>
      <c r="X73" s="40"/>
      <c r="Y73" s="40"/>
      <c r="Z73" s="40"/>
      <c r="AA73" s="40"/>
      <c r="AB73" s="40"/>
      <c r="AC73" s="40"/>
      <c r="AD73" s="40"/>
      <c r="AE73" s="40"/>
      <c r="AF73" s="40"/>
      <c r="AG73" s="40"/>
      <c r="AH73" s="40"/>
      <c r="AI73" s="40"/>
      <c r="AJ73" s="40"/>
      <c r="AK73" s="40"/>
      <c r="AL73" s="40"/>
      <c r="AM73" s="40"/>
      <c r="AN73" s="40"/>
      <c r="AO73" s="40"/>
      <c r="AP73" s="38"/>
      <c r="AQ73" s="38"/>
      <c r="AR73" s="25">
        <f t="shared" si="20"/>
        <v>0</v>
      </c>
      <c r="AS73" s="25">
        <f t="shared" si="21"/>
        <v>275</v>
      </c>
    </row>
    <row r="74" spans="1:45">
      <c r="A74" s="17">
        <v>41190</v>
      </c>
      <c r="B74" s="41" t="s">
        <v>231</v>
      </c>
      <c r="C74" s="37"/>
      <c r="D74" s="37"/>
      <c r="E74" s="37" t="s">
        <v>121</v>
      </c>
      <c r="F74" s="37"/>
      <c r="G74" s="37" t="s">
        <v>27</v>
      </c>
      <c r="H74" s="38" t="s">
        <v>121</v>
      </c>
      <c r="I74" s="16"/>
      <c r="J74" s="16">
        <v>45</v>
      </c>
      <c r="K74" s="16" t="str">
        <f t="shared" si="28"/>
        <v>Credit</v>
      </c>
      <c r="L74" s="16" t="s">
        <v>121</v>
      </c>
      <c r="M74" s="16">
        <f t="shared" si="29"/>
        <v>45</v>
      </c>
      <c r="N74" s="16"/>
      <c r="O74" s="16"/>
      <c r="P74" s="39"/>
      <c r="Q74" s="39"/>
      <c r="R74" s="39"/>
      <c r="S74" s="39"/>
      <c r="T74" s="39"/>
      <c r="U74" s="39">
        <v>45</v>
      </c>
      <c r="V74" s="39"/>
      <c r="W74" s="40"/>
      <c r="X74" s="40"/>
      <c r="Y74" s="40"/>
      <c r="Z74" s="40"/>
      <c r="AA74" s="40"/>
      <c r="AB74" s="40"/>
      <c r="AC74" s="40"/>
      <c r="AD74" s="40"/>
      <c r="AE74" s="40"/>
      <c r="AF74" s="40"/>
      <c r="AG74" s="40"/>
      <c r="AH74" s="40"/>
      <c r="AI74" s="40"/>
      <c r="AJ74" s="40"/>
      <c r="AK74" s="40"/>
      <c r="AL74" s="40"/>
      <c r="AM74" s="40"/>
      <c r="AN74" s="40"/>
      <c r="AO74" s="40"/>
      <c r="AP74" s="38"/>
      <c r="AQ74" s="38"/>
      <c r="AR74" s="25">
        <f t="shared" si="20"/>
        <v>0</v>
      </c>
      <c r="AS74" s="25">
        <f t="shared" si="21"/>
        <v>45</v>
      </c>
    </row>
    <row r="75" spans="1:45">
      <c r="A75" s="17">
        <v>41190</v>
      </c>
      <c r="B75" s="41" t="s">
        <v>231</v>
      </c>
      <c r="C75" s="37"/>
      <c r="D75" s="37"/>
      <c r="E75" s="37" t="s">
        <v>121</v>
      </c>
      <c r="F75" s="37"/>
      <c r="G75" s="37" t="s">
        <v>165</v>
      </c>
      <c r="H75" s="38" t="s">
        <v>279</v>
      </c>
      <c r="I75" s="16">
        <v>9.0500000000000007</v>
      </c>
      <c r="J75" s="16"/>
      <c r="K75" s="16" t="str">
        <f t="shared" ref="K75" si="30">IF(ISNUMBER(I75),"Debit",IF(ISNUMBER(J75),"Credit",""))</f>
        <v>Debit</v>
      </c>
      <c r="L75" s="16" t="s">
        <v>121</v>
      </c>
      <c r="M75" s="16">
        <f t="shared" ref="M75" si="31">IF(K75="Debit",-I75,J75)</f>
        <v>-9.0500000000000007</v>
      </c>
      <c r="N75" s="16"/>
      <c r="O75" s="16"/>
      <c r="P75" s="39"/>
      <c r="Q75" s="39"/>
      <c r="R75" s="39"/>
      <c r="S75" s="39"/>
      <c r="T75" s="39">
        <v>9.0500000000000007</v>
      </c>
      <c r="U75" s="39"/>
      <c r="V75" s="39"/>
      <c r="W75" s="40"/>
      <c r="X75" s="40"/>
      <c r="Y75" s="40"/>
      <c r="Z75" s="40"/>
      <c r="AA75" s="40"/>
      <c r="AB75" s="40"/>
      <c r="AC75" s="40"/>
      <c r="AD75" s="40"/>
      <c r="AE75" s="40"/>
      <c r="AF75" s="40"/>
      <c r="AG75" s="40"/>
      <c r="AH75" s="40"/>
      <c r="AI75" s="40"/>
      <c r="AJ75" s="40"/>
      <c r="AK75" s="40"/>
      <c r="AL75" s="40"/>
      <c r="AM75" s="40"/>
      <c r="AN75" s="40"/>
      <c r="AO75" s="40"/>
      <c r="AP75" s="38"/>
      <c r="AQ75" s="38"/>
      <c r="AR75" s="25">
        <f t="shared" si="20"/>
        <v>9.0500000000000007</v>
      </c>
      <c r="AS75" s="25">
        <f t="shared" si="21"/>
        <v>0</v>
      </c>
    </row>
    <row r="76" spans="1:45">
      <c r="A76" s="17">
        <v>41186</v>
      </c>
      <c r="B76" s="41" t="s">
        <v>231</v>
      </c>
      <c r="C76" s="37"/>
      <c r="D76" s="37"/>
      <c r="E76" s="37" t="s">
        <v>121</v>
      </c>
      <c r="F76" s="37" t="s">
        <v>260</v>
      </c>
      <c r="G76" s="37" t="s">
        <v>27</v>
      </c>
      <c r="H76" s="38" t="s">
        <v>121</v>
      </c>
      <c r="I76" s="16"/>
      <c r="J76" s="16">
        <v>2475</v>
      </c>
      <c r="K76" s="16" t="str">
        <f t="shared" si="18"/>
        <v>Credit</v>
      </c>
      <c r="L76" s="16" t="s">
        <v>121</v>
      </c>
      <c r="M76" s="16">
        <f t="shared" si="19"/>
        <v>2475</v>
      </c>
      <c r="N76" s="16"/>
      <c r="O76" s="16"/>
      <c r="P76" s="39"/>
      <c r="Q76" s="39"/>
      <c r="R76" s="39"/>
      <c r="S76" s="39"/>
      <c r="T76" s="39"/>
      <c r="U76" s="39">
        <v>2475</v>
      </c>
      <c r="V76" s="39"/>
      <c r="W76" s="40"/>
      <c r="X76" s="40"/>
      <c r="Y76" s="40"/>
      <c r="Z76" s="40"/>
      <c r="AA76" s="40"/>
      <c r="AB76" s="40"/>
      <c r="AC76" s="40"/>
      <c r="AD76" s="40"/>
      <c r="AE76" s="40"/>
      <c r="AF76" s="40"/>
      <c r="AG76" s="40"/>
      <c r="AH76" s="40"/>
      <c r="AI76" s="40"/>
      <c r="AJ76" s="40"/>
      <c r="AK76" s="40"/>
      <c r="AL76" s="40"/>
      <c r="AM76" s="40"/>
      <c r="AN76" s="40"/>
      <c r="AO76" s="40"/>
      <c r="AP76" s="38"/>
      <c r="AQ76" s="38"/>
      <c r="AR76" s="25">
        <f t="shared" si="20"/>
        <v>0</v>
      </c>
      <c r="AS76" s="25">
        <f t="shared" si="21"/>
        <v>2475</v>
      </c>
    </row>
    <row r="77" spans="1:45">
      <c r="A77" s="17">
        <v>41182</v>
      </c>
      <c r="B77" s="41" t="s">
        <v>231</v>
      </c>
      <c r="C77" s="37"/>
      <c r="D77" s="37"/>
      <c r="E77" s="37" t="s">
        <v>92</v>
      </c>
      <c r="F77" s="37"/>
      <c r="G77" s="37" t="s">
        <v>4</v>
      </c>
      <c r="H77" s="38" t="s">
        <v>277</v>
      </c>
      <c r="I77" s="16"/>
      <c r="J77" s="16">
        <v>1.49</v>
      </c>
      <c r="K77" s="16" t="str">
        <f t="shared" si="18"/>
        <v>Credit</v>
      </c>
      <c r="L77" s="16" t="s">
        <v>4</v>
      </c>
      <c r="M77" s="16">
        <f t="shared" si="19"/>
        <v>1.49</v>
      </c>
      <c r="N77" s="16"/>
      <c r="O77" s="16"/>
      <c r="P77" s="39"/>
      <c r="Q77" s="39"/>
      <c r="R77" s="39"/>
      <c r="S77" s="39"/>
      <c r="T77" s="39"/>
      <c r="U77" s="39"/>
      <c r="V77" s="39"/>
      <c r="W77" s="40"/>
      <c r="X77" s="40"/>
      <c r="Y77" s="40"/>
      <c r="Z77" s="40"/>
      <c r="AA77" s="40"/>
      <c r="AB77" s="40"/>
      <c r="AC77" s="40"/>
      <c r="AD77" s="40"/>
      <c r="AE77" s="40"/>
      <c r="AF77" s="40"/>
      <c r="AG77" s="40"/>
      <c r="AH77" s="40"/>
      <c r="AI77" s="40">
        <v>1.49</v>
      </c>
      <c r="AJ77" s="40"/>
      <c r="AK77" s="40"/>
      <c r="AL77" s="40"/>
      <c r="AM77" s="40"/>
      <c r="AN77" s="40"/>
      <c r="AO77" s="40"/>
      <c r="AP77" s="38"/>
      <c r="AQ77" s="38"/>
      <c r="AR77" s="25">
        <f t="shared" si="20"/>
        <v>0</v>
      </c>
      <c r="AS77" s="25">
        <f t="shared" si="21"/>
        <v>1.49</v>
      </c>
    </row>
    <row r="78" spans="1:45">
      <c r="A78" s="17">
        <v>41170</v>
      </c>
      <c r="B78" s="41" t="s">
        <v>231</v>
      </c>
      <c r="C78" s="37"/>
      <c r="D78" s="37"/>
      <c r="E78" s="37" t="s">
        <v>121</v>
      </c>
      <c r="F78" s="37" t="s">
        <v>266</v>
      </c>
      <c r="G78" s="37" t="s">
        <v>27</v>
      </c>
      <c r="H78" s="38" t="s">
        <v>270</v>
      </c>
      <c r="I78" s="16"/>
      <c r="J78" s="16">
        <v>495</v>
      </c>
      <c r="K78" s="16" t="str">
        <f t="shared" si="18"/>
        <v>Credit</v>
      </c>
      <c r="L78" s="16" t="s">
        <v>121</v>
      </c>
      <c r="M78" s="16">
        <f t="shared" si="19"/>
        <v>495</v>
      </c>
      <c r="N78" s="16"/>
      <c r="O78" s="16"/>
      <c r="P78" s="39"/>
      <c r="Q78" s="39"/>
      <c r="R78" s="39"/>
      <c r="S78" s="39"/>
      <c r="T78" s="39"/>
      <c r="U78" s="39">
        <v>495</v>
      </c>
      <c r="V78" s="39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38"/>
      <c r="AQ78" s="38"/>
      <c r="AR78" s="25">
        <f t="shared" si="20"/>
        <v>0</v>
      </c>
      <c r="AS78" s="25">
        <f t="shared" si="21"/>
        <v>495</v>
      </c>
    </row>
    <row r="79" spans="1:45">
      <c r="A79" s="17">
        <v>41169</v>
      </c>
      <c r="B79" s="41" t="s">
        <v>231</v>
      </c>
      <c r="C79" s="37"/>
      <c r="D79" s="37"/>
      <c r="E79" s="37" t="s">
        <v>121</v>
      </c>
      <c r="F79" s="37" t="s">
        <v>260</v>
      </c>
      <c r="G79" s="37" t="s">
        <v>27</v>
      </c>
      <c r="H79" s="38" t="s">
        <v>270</v>
      </c>
      <c r="I79" s="16"/>
      <c r="J79" s="16">
        <v>550</v>
      </c>
      <c r="K79" s="16" t="str">
        <f t="shared" si="18"/>
        <v>Credit</v>
      </c>
      <c r="L79" s="16" t="s">
        <v>121</v>
      </c>
      <c r="M79" s="16">
        <f t="shared" si="19"/>
        <v>550</v>
      </c>
      <c r="N79" s="16"/>
      <c r="O79" s="16"/>
      <c r="P79" s="39"/>
      <c r="Q79" s="39"/>
      <c r="R79" s="39"/>
      <c r="S79" s="39"/>
      <c r="T79" s="39"/>
      <c r="U79" s="39">
        <v>550</v>
      </c>
      <c r="V79" s="39"/>
      <c r="W79" s="40"/>
      <c r="X79" s="40"/>
      <c r="Y79" s="40"/>
      <c r="Z79" s="40"/>
      <c r="AA79" s="40"/>
      <c r="AB79" s="40"/>
      <c r="AC79" s="40"/>
      <c r="AD79" s="40"/>
      <c r="AE79" s="40"/>
      <c r="AF79" s="40"/>
      <c r="AG79" s="40"/>
      <c r="AH79" s="40"/>
      <c r="AI79" s="40"/>
      <c r="AJ79" s="40"/>
      <c r="AK79" s="40"/>
      <c r="AL79" s="40"/>
      <c r="AM79" s="40"/>
      <c r="AN79" s="40"/>
      <c r="AO79" s="40"/>
      <c r="AP79" s="38"/>
      <c r="AQ79" s="38"/>
      <c r="AR79" s="25">
        <f t="shared" si="20"/>
        <v>0</v>
      </c>
      <c r="AS79" s="25">
        <f t="shared" si="21"/>
        <v>550</v>
      </c>
    </row>
    <row r="80" spans="1:45">
      <c r="A80" s="17">
        <v>41164</v>
      </c>
      <c r="B80" s="41" t="s">
        <v>183</v>
      </c>
      <c r="C80" s="37" t="s">
        <v>172</v>
      </c>
      <c r="D80" s="37" t="s">
        <v>252</v>
      </c>
      <c r="E80" s="37" t="s">
        <v>92</v>
      </c>
      <c r="F80" s="37"/>
      <c r="G80" s="37" t="s">
        <v>142</v>
      </c>
      <c r="H80" s="38" t="s">
        <v>250</v>
      </c>
      <c r="I80" s="16">
        <v>487.5</v>
      </c>
      <c r="J80" s="16"/>
      <c r="K80" s="16" t="str">
        <f t="shared" ref="K80" si="32">IF(ISNUMBER(I80),"Debit",IF(ISNUMBER(J80),"Credit",""))</f>
        <v>Debit</v>
      </c>
      <c r="L80" s="16" t="s">
        <v>79</v>
      </c>
      <c r="M80" s="16">
        <f t="shared" ref="M80" si="33">IF(K80="Debit",-I80,J80)</f>
        <v>-487.5</v>
      </c>
      <c r="N80" s="16"/>
      <c r="O80" s="16"/>
      <c r="P80" s="39"/>
      <c r="Q80" s="39"/>
      <c r="R80" s="39">
        <v>487.5</v>
      </c>
      <c r="S80" s="39"/>
      <c r="T80" s="39"/>
      <c r="U80" s="39"/>
      <c r="V80" s="39"/>
      <c r="W80" s="40"/>
      <c r="X80" s="40"/>
      <c r="Y80" s="40"/>
      <c r="Z80" s="40"/>
      <c r="AA80" s="40"/>
      <c r="AB80" s="40"/>
      <c r="AC80" s="40"/>
      <c r="AD80" s="40"/>
      <c r="AE80" s="40"/>
      <c r="AF80" s="40"/>
      <c r="AG80" s="40"/>
      <c r="AH80" s="40"/>
      <c r="AI80" s="40"/>
      <c r="AJ80" s="40"/>
      <c r="AK80" s="40"/>
      <c r="AL80" s="40"/>
      <c r="AM80" s="40"/>
      <c r="AN80" s="40"/>
      <c r="AO80" s="40"/>
      <c r="AP80" s="38"/>
      <c r="AQ80" s="38"/>
      <c r="AR80" s="25">
        <f t="shared" si="20"/>
        <v>487.5</v>
      </c>
      <c r="AS80" s="25">
        <f t="shared" si="21"/>
        <v>0</v>
      </c>
    </row>
    <row r="81" spans="1:45">
      <c r="A81" s="17">
        <v>41163</v>
      </c>
      <c r="B81" s="41" t="s">
        <v>183</v>
      </c>
      <c r="C81" s="37" t="s">
        <v>247</v>
      </c>
      <c r="D81" s="37" t="s">
        <v>248</v>
      </c>
      <c r="E81" s="37" t="s">
        <v>121</v>
      </c>
      <c r="F81" s="37" t="s">
        <v>220</v>
      </c>
      <c r="G81" s="37" t="s">
        <v>119</v>
      </c>
      <c r="H81" s="38" t="s">
        <v>249</v>
      </c>
      <c r="I81" s="16">
        <v>35</v>
      </c>
      <c r="J81" s="16"/>
      <c r="K81" s="16" t="str">
        <f t="shared" si="0"/>
        <v>Debit</v>
      </c>
      <c r="L81" s="16" t="s">
        <v>121</v>
      </c>
      <c r="M81" s="16">
        <f t="shared" si="1"/>
        <v>-35</v>
      </c>
      <c r="N81" s="16"/>
      <c r="O81" s="16"/>
      <c r="P81" s="39"/>
      <c r="Q81" s="39"/>
      <c r="R81" s="39"/>
      <c r="S81" s="39"/>
      <c r="T81" s="39">
        <v>35</v>
      </c>
      <c r="U81" s="39"/>
      <c r="V81" s="39"/>
      <c r="W81" s="40"/>
      <c r="X81" s="40"/>
      <c r="Y81" s="40"/>
      <c r="Z81" s="40"/>
      <c r="AA81" s="40"/>
      <c r="AB81" s="40"/>
      <c r="AC81" s="40"/>
      <c r="AD81" s="40"/>
      <c r="AE81" s="40"/>
      <c r="AF81" s="40"/>
      <c r="AG81" s="40"/>
      <c r="AH81" s="40"/>
      <c r="AI81" s="40"/>
      <c r="AJ81" s="40"/>
      <c r="AK81" s="40"/>
      <c r="AL81" s="40"/>
      <c r="AM81" s="40"/>
      <c r="AN81" s="40"/>
      <c r="AO81" s="40"/>
      <c r="AP81" s="38"/>
      <c r="AQ81" s="38"/>
      <c r="AR81" s="25">
        <f t="shared" si="20"/>
        <v>35</v>
      </c>
      <c r="AS81" s="25">
        <f t="shared" si="21"/>
        <v>0</v>
      </c>
    </row>
    <row r="82" spans="1:45">
      <c r="A82" s="17">
        <v>41163</v>
      </c>
      <c r="B82" s="41">
        <v>100149</v>
      </c>
      <c r="C82" s="37" t="s">
        <v>172</v>
      </c>
      <c r="D82" s="37" t="s">
        <v>246</v>
      </c>
      <c r="E82" s="37" t="s">
        <v>121</v>
      </c>
      <c r="F82" s="37" t="s">
        <v>189</v>
      </c>
      <c r="G82" s="37" t="s">
        <v>119</v>
      </c>
      <c r="H82" s="38" t="s">
        <v>225</v>
      </c>
      <c r="I82" s="16">
        <v>1000</v>
      </c>
      <c r="J82" s="16"/>
      <c r="K82" s="16" t="str">
        <f t="shared" si="0"/>
        <v>Debit</v>
      </c>
      <c r="L82" s="16" t="s">
        <v>121</v>
      </c>
      <c r="M82" s="16">
        <f t="shared" si="1"/>
        <v>-1000</v>
      </c>
      <c r="N82" s="16"/>
      <c r="O82" s="16"/>
      <c r="P82" s="39"/>
      <c r="Q82" s="39"/>
      <c r="R82" s="39"/>
      <c r="S82" s="39"/>
      <c r="T82" s="39">
        <v>1000</v>
      </c>
      <c r="U82" s="39"/>
      <c r="V82" s="39"/>
      <c r="W82" s="40"/>
      <c r="X82" s="40"/>
      <c r="Y82" s="40"/>
      <c r="Z82" s="40"/>
      <c r="AA82" s="40"/>
      <c r="AB82" s="40"/>
      <c r="AC82" s="40"/>
      <c r="AD82" s="40"/>
      <c r="AE82" s="40"/>
      <c r="AF82" s="40"/>
      <c r="AG82" s="40"/>
      <c r="AH82" s="40"/>
      <c r="AI82" s="40"/>
      <c r="AJ82" s="40"/>
      <c r="AK82" s="40"/>
      <c r="AL82" s="40"/>
      <c r="AM82" s="40"/>
      <c r="AN82" s="40"/>
      <c r="AO82" s="40"/>
      <c r="AP82" s="38"/>
      <c r="AQ82" s="38"/>
      <c r="AR82" s="25">
        <f t="shared" si="20"/>
        <v>1000</v>
      </c>
      <c r="AS82" s="25">
        <f t="shared" si="21"/>
        <v>0</v>
      </c>
    </row>
    <row r="83" spans="1:45">
      <c r="A83" s="17">
        <v>41151</v>
      </c>
      <c r="B83" s="41" t="s">
        <v>231</v>
      </c>
      <c r="C83" s="37"/>
      <c r="D83" s="37"/>
      <c r="E83" s="37" t="s">
        <v>92</v>
      </c>
      <c r="F83" s="37"/>
      <c r="G83" s="37" t="s">
        <v>4</v>
      </c>
      <c r="H83" s="38" t="s">
        <v>277</v>
      </c>
      <c r="I83" s="16"/>
      <c r="J83" s="16">
        <v>0.48</v>
      </c>
      <c r="K83" s="16" t="str">
        <f t="shared" ref="K83" si="34">IF(ISNUMBER(I83),"Debit",IF(ISNUMBER(J83),"Credit",""))</f>
        <v>Credit</v>
      </c>
      <c r="L83" s="16" t="s">
        <v>4</v>
      </c>
      <c r="M83" s="16">
        <f t="shared" ref="M83" si="35">IF(K83="Debit",-I83,J83)</f>
        <v>0.48</v>
      </c>
      <c r="N83" s="16"/>
      <c r="O83" s="16"/>
      <c r="P83" s="39"/>
      <c r="Q83" s="39"/>
      <c r="R83" s="39"/>
      <c r="S83" s="39"/>
      <c r="T83" s="39"/>
      <c r="U83" s="39"/>
      <c r="V83" s="39"/>
      <c r="W83" s="40"/>
      <c r="X83" s="40"/>
      <c r="Y83" s="40"/>
      <c r="Z83" s="40"/>
      <c r="AA83" s="40"/>
      <c r="AB83" s="40"/>
      <c r="AC83" s="40"/>
      <c r="AD83" s="40"/>
      <c r="AE83" s="40"/>
      <c r="AF83" s="40"/>
      <c r="AG83" s="40"/>
      <c r="AH83" s="40"/>
      <c r="AI83" s="40">
        <v>0.48</v>
      </c>
      <c r="AJ83" s="40"/>
      <c r="AK83" s="40"/>
      <c r="AL83" s="40"/>
      <c r="AM83" s="40"/>
      <c r="AN83" s="40"/>
      <c r="AO83" s="40"/>
      <c r="AP83" s="38"/>
      <c r="AQ83" s="38"/>
      <c r="AR83" s="25">
        <f t="shared" si="20"/>
        <v>0</v>
      </c>
      <c r="AS83" s="25">
        <f t="shared" si="21"/>
        <v>0.48</v>
      </c>
    </row>
    <row r="84" spans="1:45">
      <c r="A84" s="17">
        <v>41141</v>
      </c>
      <c r="B84" s="41" t="s">
        <v>183</v>
      </c>
      <c r="C84" s="37"/>
      <c r="D84" s="37" t="s">
        <v>245</v>
      </c>
      <c r="E84" s="37" t="s">
        <v>121</v>
      </c>
      <c r="F84" s="37" t="s">
        <v>189</v>
      </c>
      <c r="G84" s="37" t="s">
        <v>118</v>
      </c>
      <c r="H84" s="38" t="s">
        <v>188</v>
      </c>
      <c r="I84" s="16">
        <v>250</v>
      </c>
      <c r="J84" s="16"/>
      <c r="K84" s="16" t="str">
        <f t="shared" ref="K84" si="36">IF(ISNUMBER(I84),"Debit",IF(ISNUMBER(J84),"Credit",""))</f>
        <v>Debit</v>
      </c>
      <c r="L84" s="16" t="s">
        <v>121</v>
      </c>
      <c r="M84" s="16">
        <f t="shared" ref="M84" si="37">IF(K84="Debit",-I84,J84)</f>
        <v>-250</v>
      </c>
      <c r="N84" s="16"/>
      <c r="O84" s="16"/>
      <c r="P84" s="39"/>
      <c r="Q84" s="39"/>
      <c r="R84" s="39"/>
      <c r="S84" s="39"/>
      <c r="T84" s="39">
        <v>250</v>
      </c>
      <c r="U84" s="39"/>
      <c r="V84" s="39"/>
      <c r="W84" s="40"/>
      <c r="X84" s="40"/>
      <c r="Y84" s="40"/>
      <c r="Z84" s="40"/>
      <c r="AA84" s="40"/>
      <c r="AB84" s="40"/>
      <c r="AC84" s="40"/>
      <c r="AD84" s="40"/>
      <c r="AE84" s="40"/>
      <c r="AF84" s="40"/>
      <c r="AG84" s="40"/>
      <c r="AH84" s="40"/>
      <c r="AI84" s="40"/>
      <c r="AJ84" s="40"/>
      <c r="AK84" s="40"/>
      <c r="AL84" s="40"/>
      <c r="AM84" s="40"/>
      <c r="AN84" s="40"/>
      <c r="AO84" s="40"/>
      <c r="AP84" s="38"/>
      <c r="AQ84" s="38"/>
      <c r="AR84" s="25">
        <f t="shared" ref="AR84:AR118" si="38">SUMIF($N$2:$AQ$2,"Debit",$N84:$AQ84)</f>
        <v>250</v>
      </c>
      <c r="AS84" s="25">
        <f t="shared" ref="AS84:AS118" si="39">SUMIF($N$2:$AQ$2,"Credit",$N84:$AQ84)</f>
        <v>0</v>
      </c>
    </row>
    <row r="85" spans="1:45">
      <c r="A85" s="17">
        <v>41136</v>
      </c>
      <c r="B85" s="41" t="s">
        <v>183</v>
      </c>
      <c r="C85" s="37"/>
      <c r="D85" s="37" t="s">
        <v>244</v>
      </c>
      <c r="E85" s="37" t="s">
        <v>121</v>
      </c>
      <c r="F85" s="37" t="s">
        <v>189</v>
      </c>
      <c r="G85" s="37" t="s">
        <v>166</v>
      </c>
      <c r="H85" s="38" t="s">
        <v>188</v>
      </c>
      <c r="I85" s="16">
        <v>52.55</v>
      </c>
      <c r="J85" s="16"/>
      <c r="K85" s="16" t="str">
        <f t="shared" si="0"/>
        <v>Debit</v>
      </c>
      <c r="L85" s="16" t="s">
        <v>121</v>
      </c>
      <c r="M85" s="16">
        <f t="shared" si="1"/>
        <v>-52.55</v>
      </c>
      <c r="N85" s="16"/>
      <c r="O85" s="16"/>
      <c r="P85" s="39"/>
      <c r="Q85" s="39"/>
      <c r="R85" s="39"/>
      <c r="S85" s="39"/>
      <c r="T85" s="39">
        <v>52.55</v>
      </c>
      <c r="U85" s="39"/>
      <c r="V85" s="39"/>
      <c r="W85" s="40"/>
      <c r="X85" s="40"/>
      <c r="Y85" s="40"/>
      <c r="Z85" s="40"/>
      <c r="AA85" s="40"/>
      <c r="AB85" s="40"/>
      <c r="AC85" s="40"/>
      <c r="AD85" s="40"/>
      <c r="AE85" s="40"/>
      <c r="AF85" s="40"/>
      <c r="AG85" s="40"/>
      <c r="AH85" s="40"/>
      <c r="AI85" s="40"/>
      <c r="AJ85" s="40"/>
      <c r="AK85" s="40"/>
      <c r="AL85" s="40"/>
      <c r="AM85" s="40"/>
      <c r="AN85" s="40"/>
      <c r="AO85" s="40"/>
      <c r="AP85" s="38"/>
      <c r="AQ85" s="38"/>
      <c r="AR85" s="25">
        <f t="shared" si="38"/>
        <v>52.55</v>
      </c>
      <c r="AS85" s="25">
        <f t="shared" si="39"/>
        <v>0</v>
      </c>
    </row>
    <row r="86" spans="1:45">
      <c r="A86" s="17">
        <v>41136</v>
      </c>
      <c r="B86" s="41" t="s">
        <v>183</v>
      </c>
      <c r="C86" s="37"/>
      <c r="D86" s="37" t="s">
        <v>243</v>
      </c>
      <c r="E86" s="37" t="s">
        <v>121</v>
      </c>
      <c r="F86" s="37"/>
      <c r="G86" s="37" t="s">
        <v>118</v>
      </c>
      <c r="H86" s="38" t="s">
        <v>226</v>
      </c>
      <c r="I86" s="16">
        <v>250</v>
      </c>
      <c r="J86" s="16"/>
      <c r="K86" s="16" t="str">
        <f t="shared" si="0"/>
        <v>Debit</v>
      </c>
      <c r="L86" s="16" t="s">
        <v>121</v>
      </c>
      <c r="M86" s="16">
        <f t="shared" si="1"/>
        <v>-250</v>
      </c>
      <c r="N86" s="16"/>
      <c r="O86" s="16"/>
      <c r="P86" s="39"/>
      <c r="Q86" s="39"/>
      <c r="R86" s="39"/>
      <c r="S86" s="39"/>
      <c r="T86" s="39">
        <v>250</v>
      </c>
      <c r="U86" s="39"/>
      <c r="V86" s="39"/>
      <c r="W86" s="40"/>
      <c r="X86" s="40"/>
      <c r="Y86" s="40"/>
      <c r="Z86" s="40"/>
      <c r="AA86" s="40"/>
      <c r="AB86" s="40"/>
      <c r="AC86" s="40"/>
      <c r="AD86" s="40"/>
      <c r="AE86" s="40"/>
      <c r="AF86" s="40"/>
      <c r="AG86" s="40"/>
      <c r="AH86" s="40"/>
      <c r="AI86" s="40"/>
      <c r="AJ86" s="40"/>
      <c r="AK86" s="40"/>
      <c r="AL86" s="40"/>
      <c r="AM86" s="40"/>
      <c r="AN86" s="40"/>
      <c r="AO86" s="40"/>
      <c r="AP86" s="38"/>
      <c r="AQ86" s="38"/>
      <c r="AR86" s="25">
        <f t="shared" si="38"/>
        <v>250</v>
      </c>
      <c r="AS86" s="25">
        <f t="shared" si="39"/>
        <v>0</v>
      </c>
    </row>
    <row r="87" spans="1:45">
      <c r="A87" s="17">
        <v>41136</v>
      </c>
      <c r="B87" s="41" t="s">
        <v>183</v>
      </c>
      <c r="C87" s="37" t="s">
        <v>172</v>
      </c>
      <c r="D87" s="37"/>
      <c r="E87" s="37" t="s">
        <v>121</v>
      </c>
      <c r="F87" s="37"/>
      <c r="G87" s="37" t="s">
        <v>118</v>
      </c>
      <c r="H87" s="38" t="s">
        <v>230</v>
      </c>
      <c r="I87" s="16">
        <v>250</v>
      </c>
      <c r="J87" s="16"/>
      <c r="K87" s="16" t="str">
        <f t="shared" si="0"/>
        <v>Debit</v>
      </c>
      <c r="L87" s="16" t="s">
        <v>121</v>
      </c>
      <c r="M87" s="16">
        <f t="shared" si="1"/>
        <v>-250</v>
      </c>
      <c r="N87" s="16"/>
      <c r="O87" s="16"/>
      <c r="P87" s="39"/>
      <c r="Q87" s="39"/>
      <c r="R87" s="39"/>
      <c r="S87" s="39"/>
      <c r="T87" s="39">
        <v>250</v>
      </c>
      <c r="U87" s="39"/>
      <c r="V87" s="39"/>
      <c r="W87" s="40"/>
      <c r="X87" s="40"/>
      <c r="Y87" s="40"/>
      <c r="Z87" s="40"/>
      <c r="AA87" s="40"/>
      <c r="AB87" s="40"/>
      <c r="AC87" s="40"/>
      <c r="AD87" s="40"/>
      <c r="AE87" s="40"/>
      <c r="AF87" s="40"/>
      <c r="AG87" s="40"/>
      <c r="AH87" s="40"/>
      <c r="AI87" s="40"/>
      <c r="AJ87" s="40"/>
      <c r="AK87" s="40"/>
      <c r="AL87" s="40"/>
      <c r="AM87" s="40"/>
      <c r="AN87" s="40"/>
      <c r="AO87" s="40"/>
      <c r="AP87" s="38"/>
      <c r="AQ87" s="38"/>
      <c r="AR87" s="25">
        <f t="shared" si="38"/>
        <v>250</v>
      </c>
      <c r="AS87" s="25">
        <f t="shared" si="39"/>
        <v>0</v>
      </c>
    </row>
    <row r="88" spans="1:45">
      <c r="A88" s="17">
        <v>41128</v>
      </c>
      <c r="B88" s="41" t="s">
        <v>183</v>
      </c>
      <c r="C88" s="37" t="s">
        <v>172</v>
      </c>
      <c r="D88" s="37" t="s">
        <v>222</v>
      </c>
      <c r="E88" s="37" t="s">
        <v>92</v>
      </c>
      <c r="F88" s="37"/>
      <c r="G88" s="37" t="s">
        <v>142</v>
      </c>
      <c r="H88" s="38" t="s">
        <v>223</v>
      </c>
      <c r="I88" s="16">
        <v>500</v>
      </c>
      <c r="J88" s="16"/>
      <c r="K88" s="16" t="str">
        <f t="shared" si="0"/>
        <v>Debit</v>
      </c>
      <c r="L88" s="16" t="s">
        <v>79</v>
      </c>
      <c r="M88" s="16">
        <f t="shared" si="1"/>
        <v>-500</v>
      </c>
      <c r="N88" s="16"/>
      <c r="O88" s="16"/>
      <c r="P88" s="39"/>
      <c r="Q88" s="39"/>
      <c r="R88" s="39">
        <v>500</v>
      </c>
      <c r="S88" s="39"/>
      <c r="T88" s="39"/>
      <c r="U88" s="39"/>
      <c r="V88" s="39"/>
      <c r="W88" s="40"/>
      <c r="X88" s="40"/>
      <c r="Y88" s="40"/>
      <c r="Z88" s="40"/>
      <c r="AA88" s="40"/>
      <c r="AB88" s="40"/>
      <c r="AC88" s="40"/>
      <c r="AD88" s="40"/>
      <c r="AE88" s="40"/>
      <c r="AF88" s="40"/>
      <c r="AG88" s="40"/>
      <c r="AH88" s="40"/>
      <c r="AI88" s="40"/>
      <c r="AJ88" s="40"/>
      <c r="AK88" s="40"/>
      <c r="AL88" s="40"/>
      <c r="AM88" s="40"/>
      <c r="AN88" s="40"/>
      <c r="AO88" s="40"/>
      <c r="AP88" s="38"/>
      <c r="AQ88" s="38"/>
      <c r="AR88" s="25">
        <f t="shared" si="38"/>
        <v>500</v>
      </c>
      <c r="AS88" s="25">
        <f t="shared" si="39"/>
        <v>0</v>
      </c>
    </row>
    <row r="89" spans="1:45">
      <c r="A89" s="17">
        <v>41127</v>
      </c>
      <c r="B89" s="41" t="s">
        <v>183</v>
      </c>
      <c r="C89" s="37" t="s">
        <v>172</v>
      </c>
      <c r="D89" s="37" t="s">
        <v>219</v>
      </c>
      <c r="E89" s="37" t="s">
        <v>121</v>
      </c>
      <c r="F89" s="37" t="s">
        <v>220</v>
      </c>
      <c r="G89" s="37" t="s">
        <v>118</v>
      </c>
      <c r="H89" s="38" t="s">
        <v>221</v>
      </c>
      <c r="I89" s="16">
        <v>49.2</v>
      </c>
      <c r="J89" s="16"/>
      <c r="K89" s="16" t="str">
        <f t="shared" ref="K89:K112" si="40">IF(ISNUMBER(I89),"Debit",IF(ISNUMBER(J89),"Credit",""))</f>
        <v>Debit</v>
      </c>
      <c r="L89" s="16" t="s">
        <v>121</v>
      </c>
      <c r="M89" s="16">
        <f t="shared" ref="M89:M112" si="41">IF(K89="Debit",-I89,J89)</f>
        <v>-49.2</v>
      </c>
      <c r="N89" s="16"/>
      <c r="O89" s="16"/>
      <c r="P89" s="39"/>
      <c r="Q89" s="39"/>
      <c r="R89" s="39"/>
      <c r="S89" s="39"/>
      <c r="T89" s="39">
        <v>49.2</v>
      </c>
      <c r="U89" s="39"/>
      <c r="V89" s="39"/>
      <c r="W89" s="40"/>
      <c r="X89" s="40"/>
      <c r="Y89" s="40"/>
      <c r="Z89" s="40"/>
      <c r="AA89" s="40"/>
      <c r="AB89" s="40"/>
      <c r="AC89" s="40"/>
      <c r="AD89" s="40"/>
      <c r="AE89" s="40"/>
      <c r="AF89" s="40"/>
      <c r="AG89" s="40"/>
      <c r="AH89" s="40"/>
      <c r="AI89" s="40"/>
      <c r="AJ89" s="40"/>
      <c r="AK89" s="40"/>
      <c r="AL89" s="40"/>
      <c r="AM89" s="40"/>
      <c r="AN89" s="40"/>
      <c r="AO89" s="40"/>
      <c r="AP89" s="38"/>
      <c r="AQ89" s="38"/>
      <c r="AR89" s="25">
        <f t="shared" si="38"/>
        <v>49.2</v>
      </c>
      <c r="AS89" s="25">
        <f t="shared" si="39"/>
        <v>0</v>
      </c>
    </row>
    <row r="90" spans="1:45">
      <c r="A90" s="17">
        <v>41117</v>
      </c>
      <c r="B90" s="41" t="s">
        <v>231</v>
      </c>
      <c r="C90" s="37"/>
      <c r="D90" s="37"/>
      <c r="E90" s="37" t="s">
        <v>121</v>
      </c>
      <c r="F90" s="37" t="s">
        <v>220</v>
      </c>
      <c r="G90" s="37" t="s">
        <v>27</v>
      </c>
      <c r="H90" s="38" t="s">
        <v>232</v>
      </c>
      <c r="I90" s="16"/>
      <c r="J90" s="16">
        <v>75</v>
      </c>
      <c r="K90" s="16" t="str">
        <f t="shared" ref="K90:K92" si="42">IF(ISNUMBER(I90),"Debit",IF(ISNUMBER(J90),"Credit",""))</f>
        <v>Credit</v>
      </c>
      <c r="L90" s="16" t="s">
        <v>121</v>
      </c>
      <c r="M90" s="16">
        <f t="shared" ref="M90:M92" si="43">IF(K90="Debit",-I90,J90)</f>
        <v>75</v>
      </c>
      <c r="N90" s="16"/>
      <c r="O90" s="16"/>
      <c r="P90" s="39"/>
      <c r="Q90" s="39"/>
      <c r="R90" s="39"/>
      <c r="S90" s="39"/>
      <c r="T90" s="39"/>
      <c r="U90" s="39">
        <v>75</v>
      </c>
      <c r="V90" s="39"/>
      <c r="W90" s="40"/>
      <c r="X90" s="40"/>
      <c r="Y90" s="40"/>
      <c r="Z90" s="40"/>
      <c r="AA90" s="40"/>
      <c r="AB90" s="40"/>
      <c r="AC90" s="40"/>
      <c r="AD90" s="40"/>
      <c r="AE90" s="40"/>
      <c r="AF90" s="40"/>
      <c r="AG90" s="40"/>
      <c r="AH90" s="40"/>
      <c r="AI90" s="40"/>
      <c r="AJ90" s="40"/>
      <c r="AK90" s="40"/>
      <c r="AL90" s="40"/>
      <c r="AM90" s="40"/>
      <c r="AN90" s="40"/>
      <c r="AO90" s="40"/>
      <c r="AP90" s="38"/>
      <c r="AQ90" s="38"/>
      <c r="AR90" s="25">
        <f t="shared" si="38"/>
        <v>0</v>
      </c>
      <c r="AS90" s="25">
        <f t="shared" si="39"/>
        <v>75</v>
      </c>
    </row>
    <row r="91" spans="1:45">
      <c r="A91" s="17">
        <v>41117</v>
      </c>
      <c r="B91" s="41" t="s">
        <v>231</v>
      </c>
      <c r="C91" s="37"/>
      <c r="D91" s="37"/>
      <c r="E91" s="37" t="s">
        <v>121</v>
      </c>
      <c r="F91" s="37" t="s">
        <v>220</v>
      </c>
      <c r="G91" s="37" t="s">
        <v>27</v>
      </c>
      <c r="H91" s="38" t="s">
        <v>232</v>
      </c>
      <c r="I91" s="16"/>
      <c r="J91" s="16">
        <v>15</v>
      </c>
      <c r="K91" s="16" t="str">
        <f t="shared" si="42"/>
        <v>Credit</v>
      </c>
      <c r="L91" s="16" t="s">
        <v>121</v>
      </c>
      <c r="M91" s="16">
        <f t="shared" si="43"/>
        <v>15</v>
      </c>
      <c r="N91" s="16"/>
      <c r="O91" s="16"/>
      <c r="P91" s="39"/>
      <c r="Q91" s="39"/>
      <c r="R91" s="39"/>
      <c r="S91" s="39"/>
      <c r="T91" s="39"/>
      <c r="U91" s="39">
        <v>15</v>
      </c>
      <c r="V91" s="39"/>
      <c r="W91" s="40"/>
      <c r="X91" s="40"/>
      <c r="Y91" s="40"/>
      <c r="Z91" s="40"/>
      <c r="AA91" s="40"/>
      <c r="AB91" s="40"/>
      <c r="AC91" s="40"/>
      <c r="AD91" s="40"/>
      <c r="AE91" s="40"/>
      <c r="AF91" s="40"/>
      <c r="AG91" s="40"/>
      <c r="AH91" s="40"/>
      <c r="AI91" s="40"/>
      <c r="AJ91" s="40"/>
      <c r="AK91" s="40"/>
      <c r="AL91" s="40"/>
      <c r="AM91" s="40"/>
      <c r="AN91" s="40"/>
      <c r="AO91" s="40"/>
      <c r="AP91" s="38"/>
      <c r="AQ91" s="38"/>
      <c r="AR91" s="25">
        <f t="shared" si="38"/>
        <v>0</v>
      </c>
      <c r="AS91" s="25">
        <f t="shared" si="39"/>
        <v>15</v>
      </c>
    </row>
    <row r="92" spans="1:45">
      <c r="A92" s="17">
        <v>41117</v>
      </c>
      <c r="B92" s="41" t="s">
        <v>231</v>
      </c>
      <c r="C92" s="37"/>
      <c r="D92" s="37"/>
      <c r="E92" s="37" t="s">
        <v>92</v>
      </c>
      <c r="F92" s="37"/>
      <c r="G92" s="37" t="s">
        <v>131</v>
      </c>
      <c r="H92" s="38" t="s">
        <v>176</v>
      </c>
      <c r="I92" s="16"/>
      <c r="J92" s="16">
        <v>2750</v>
      </c>
      <c r="K92" s="16" t="str">
        <f t="shared" si="42"/>
        <v>Credit</v>
      </c>
      <c r="L92" s="16" t="s">
        <v>121</v>
      </c>
      <c r="M92" s="16">
        <f t="shared" si="43"/>
        <v>2750</v>
      </c>
      <c r="N92" s="16"/>
      <c r="O92" s="16"/>
      <c r="P92" s="39"/>
      <c r="Q92" s="39"/>
      <c r="R92" s="39"/>
      <c r="S92" s="39"/>
      <c r="T92" s="39"/>
      <c r="U92" s="39"/>
      <c r="V92" s="39"/>
      <c r="W92" s="40">
        <v>2750</v>
      </c>
      <c r="X92" s="40"/>
      <c r="Y92" s="40"/>
      <c r="Z92" s="40"/>
      <c r="AA92" s="40"/>
      <c r="AB92" s="40"/>
      <c r="AC92" s="40"/>
      <c r="AD92" s="40"/>
      <c r="AE92" s="40"/>
      <c r="AF92" s="40"/>
      <c r="AG92" s="40"/>
      <c r="AH92" s="40"/>
      <c r="AI92" s="40"/>
      <c r="AJ92" s="40"/>
      <c r="AK92" s="40"/>
      <c r="AL92" s="40"/>
      <c r="AM92" s="40"/>
      <c r="AN92" s="40"/>
      <c r="AO92" s="40"/>
      <c r="AP92" s="38"/>
      <c r="AQ92" s="38"/>
      <c r="AR92" s="25">
        <f t="shared" si="38"/>
        <v>0</v>
      </c>
      <c r="AS92" s="25">
        <f t="shared" si="39"/>
        <v>2750</v>
      </c>
    </row>
    <row r="93" spans="1:45">
      <c r="A93" s="17">
        <v>41097</v>
      </c>
      <c r="B93" s="41" t="s">
        <v>183</v>
      </c>
      <c r="C93" s="37" t="s">
        <v>172</v>
      </c>
      <c r="D93" s="37" t="s">
        <v>218</v>
      </c>
      <c r="E93" s="37" t="s">
        <v>121</v>
      </c>
      <c r="F93" s="37" t="s">
        <v>209</v>
      </c>
      <c r="G93" s="37" t="s">
        <v>118</v>
      </c>
      <c r="H93" s="38" t="s">
        <v>217</v>
      </c>
      <c r="I93" s="16">
        <v>759.75</v>
      </c>
      <c r="J93" s="16"/>
      <c r="K93" s="16" t="str">
        <f t="shared" si="40"/>
        <v>Debit</v>
      </c>
      <c r="L93" s="16" t="s">
        <v>121</v>
      </c>
      <c r="M93" s="16">
        <f t="shared" si="41"/>
        <v>-759.75</v>
      </c>
      <c r="N93" s="16"/>
      <c r="O93" s="16"/>
      <c r="P93" s="39"/>
      <c r="Q93" s="39"/>
      <c r="R93" s="39"/>
      <c r="S93" s="39"/>
      <c r="T93" s="39">
        <v>759.75</v>
      </c>
      <c r="U93" s="39"/>
      <c r="V93" s="39"/>
      <c r="W93" s="40"/>
      <c r="X93" s="40"/>
      <c r="Y93" s="40"/>
      <c r="Z93" s="40"/>
      <c r="AA93" s="40"/>
      <c r="AB93" s="40"/>
      <c r="AC93" s="40"/>
      <c r="AD93" s="40"/>
      <c r="AE93" s="40"/>
      <c r="AF93" s="40"/>
      <c r="AG93" s="40"/>
      <c r="AH93" s="40"/>
      <c r="AI93" s="40"/>
      <c r="AJ93" s="40"/>
      <c r="AK93" s="40"/>
      <c r="AL93" s="40"/>
      <c r="AM93" s="40"/>
      <c r="AN93" s="40"/>
      <c r="AO93" s="40"/>
      <c r="AP93" s="38"/>
      <c r="AQ93" s="38"/>
      <c r="AR93" s="25">
        <f t="shared" si="38"/>
        <v>759.75</v>
      </c>
      <c r="AS93" s="25">
        <f t="shared" si="39"/>
        <v>0</v>
      </c>
    </row>
    <row r="94" spans="1:45">
      <c r="A94" s="17">
        <v>41096</v>
      </c>
      <c r="B94" s="41" t="s">
        <v>183</v>
      </c>
      <c r="C94" s="37"/>
      <c r="D94" s="37"/>
      <c r="E94" s="37" t="s">
        <v>92</v>
      </c>
      <c r="F94" s="37"/>
      <c r="G94" s="37" t="s">
        <v>106</v>
      </c>
      <c r="H94" s="38" t="s">
        <v>233</v>
      </c>
      <c r="I94" s="16">
        <v>275</v>
      </c>
      <c r="J94" s="16"/>
      <c r="K94" s="16" t="str">
        <f t="shared" ref="K94" si="44">IF(ISNUMBER(I94),"Debit",IF(ISNUMBER(J94),"Credit",""))</f>
        <v>Debit</v>
      </c>
      <c r="L94" s="16" t="s">
        <v>75</v>
      </c>
      <c r="M94" s="16">
        <f t="shared" ref="M94" si="45">IF(K94="Debit",-I94,J94)</f>
        <v>-275</v>
      </c>
      <c r="N94" s="16"/>
      <c r="O94" s="16"/>
      <c r="P94" s="39"/>
      <c r="Q94" s="39"/>
      <c r="R94" s="39"/>
      <c r="S94" s="39"/>
      <c r="T94" s="39"/>
      <c r="U94" s="39"/>
      <c r="V94" s="39">
        <v>275</v>
      </c>
      <c r="W94" s="40"/>
      <c r="X94" s="40"/>
      <c r="Y94" s="40"/>
      <c r="Z94" s="40"/>
      <c r="AA94" s="40"/>
      <c r="AB94" s="40"/>
      <c r="AC94" s="40"/>
      <c r="AD94" s="40"/>
      <c r="AE94" s="40"/>
      <c r="AF94" s="40"/>
      <c r="AG94" s="40"/>
      <c r="AH94" s="40"/>
      <c r="AI94" s="40"/>
      <c r="AJ94" s="40"/>
      <c r="AK94" s="40"/>
      <c r="AL94" s="40"/>
      <c r="AM94" s="40"/>
      <c r="AN94" s="40"/>
      <c r="AO94" s="40"/>
      <c r="AP94" s="38"/>
      <c r="AQ94" s="38"/>
      <c r="AR94" s="25">
        <f t="shared" si="38"/>
        <v>275</v>
      </c>
      <c r="AS94" s="25">
        <f t="shared" si="39"/>
        <v>0</v>
      </c>
    </row>
    <row r="95" spans="1:45">
      <c r="A95" s="17">
        <v>41096</v>
      </c>
      <c r="B95" s="41" t="s">
        <v>183</v>
      </c>
      <c r="C95" s="37" t="s">
        <v>172</v>
      </c>
      <c r="D95" s="37" t="s">
        <v>215</v>
      </c>
      <c r="E95" s="37" t="s">
        <v>121</v>
      </c>
      <c r="F95" s="37"/>
      <c r="G95" s="37" t="s">
        <v>118</v>
      </c>
      <c r="H95" s="38" t="s">
        <v>191</v>
      </c>
      <c r="I95" s="16">
        <v>250</v>
      </c>
      <c r="J95" s="16"/>
      <c r="K95" s="16" t="str">
        <f t="shared" si="40"/>
        <v>Debit</v>
      </c>
      <c r="L95" s="16" t="s">
        <v>121</v>
      </c>
      <c r="M95" s="16">
        <f t="shared" si="41"/>
        <v>-250</v>
      </c>
      <c r="N95" s="16"/>
      <c r="O95" s="16"/>
      <c r="P95" s="39"/>
      <c r="Q95" s="39"/>
      <c r="R95" s="39"/>
      <c r="S95" s="39"/>
      <c r="T95" s="39">
        <v>250</v>
      </c>
      <c r="U95" s="39"/>
      <c r="V95" s="39"/>
      <c r="W95" s="40"/>
      <c r="X95" s="40"/>
      <c r="Y95" s="40"/>
      <c r="Z95" s="40"/>
      <c r="AA95" s="40"/>
      <c r="AB95" s="40"/>
      <c r="AC95" s="40"/>
      <c r="AD95" s="40"/>
      <c r="AE95" s="40"/>
      <c r="AF95" s="40"/>
      <c r="AG95" s="40"/>
      <c r="AH95" s="40"/>
      <c r="AI95" s="40"/>
      <c r="AJ95" s="40"/>
      <c r="AK95" s="40"/>
      <c r="AL95" s="40"/>
      <c r="AM95" s="40"/>
      <c r="AN95" s="40"/>
      <c r="AO95" s="40"/>
      <c r="AP95" s="38"/>
      <c r="AQ95" s="38"/>
      <c r="AR95" s="25">
        <f t="shared" si="38"/>
        <v>250</v>
      </c>
      <c r="AS95" s="25">
        <f t="shared" si="39"/>
        <v>0</v>
      </c>
    </row>
    <row r="96" spans="1:45">
      <c r="A96" s="17">
        <v>41096</v>
      </c>
      <c r="B96" s="41" t="s">
        <v>183</v>
      </c>
      <c r="C96" s="37" t="s">
        <v>172</v>
      </c>
      <c r="D96" s="37" t="s">
        <v>214</v>
      </c>
      <c r="E96" s="37" t="s">
        <v>121</v>
      </c>
      <c r="F96" s="37"/>
      <c r="G96" s="37" t="s">
        <v>118</v>
      </c>
      <c r="H96" s="38" t="s">
        <v>216</v>
      </c>
      <c r="I96" s="16">
        <v>500</v>
      </c>
      <c r="J96" s="16"/>
      <c r="K96" s="16" t="str">
        <f t="shared" si="40"/>
        <v>Debit</v>
      </c>
      <c r="L96" s="16" t="s">
        <v>121</v>
      </c>
      <c r="M96" s="16">
        <f t="shared" si="41"/>
        <v>-500</v>
      </c>
      <c r="N96" s="16"/>
      <c r="O96" s="16"/>
      <c r="P96" s="39"/>
      <c r="Q96" s="39"/>
      <c r="R96" s="39"/>
      <c r="S96" s="39"/>
      <c r="T96" s="39">
        <v>500</v>
      </c>
      <c r="U96" s="39"/>
      <c r="V96" s="39"/>
      <c r="W96" s="40"/>
      <c r="X96" s="40"/>
      <c r="Y96" s="40"/>
      <c r="Z96" s="40"/>
      <c r="AA96" s="40"/>
      <c r="AB96" s="40"/>
      <c r="AC96" s="40"/>
      <c r="AD96" s="40"/>
      <c r="AE96" s="40"/>
      <c r="AF96" s="40"/>
      <c r="AG96" s="40"/>
      <c r="AH96" s="40"/>
      <c r="AI96" s="40"/>
      <c r="AJ96" s="40"/>
      <c r="AK96" s="40"/>
      <c r="AL96" s="40"/>
      <c r="AM96" s="40"/>
      <c r="AN96" s="40"/>
      <c r="AO96" s="40"/>
      <c r="AP96" s="38"/>
      <c r="AQ96" s="38"/>
      <c r="AR96" s="25">
        <f t="shared" si="38"/>
        <v>500</v>
      </c>
      <c r="AS96" s="25">
        <f t="shared" si="39"/>
        <v>0</v>
      </c>
    </row>
    <row r="97" spans="1:45">
      <c r="A97" s="17">
        <v>41096</v>
      </c>
      <c r="B97" s="41" t="s">
        <v>183</v>
      </c>
      <c r="C97" s="37" t="s">
        <v>172</v>
      </c>
      <c r="D97" s="37" t="s">
        <v>213</v>
      </c>
      <c r="E97" s="37" t="s">
        <v>121</v>
      </c>
      <c r="F97" s="37"/>
      <c r="G97" s="37" t="s">
        <v>36</v>
      </c>
      <c r="H97" s="38" t="s">
        <v>212</v>
      </c>
      <c r="I97" s="16">
        <v>32.5</v>
      </c>
      <c r="J97" s="16"/>
      <c r="K97" s="16" t="str">
        <f t="shared" si="40"/>
        <v>Debit</v>
      </c>
      <c r="L97" s="16" t="s">
        <v>121</v>
      </c>
      <c r="M97" s="16">
        <f t="shared" si="41"/>
        <v>-32.5</v>
      </c>
      <c r="N97" s="16"/>
      <c r="O97" s="16"/>
      <c r="P97" s="39"/>
      <c r="Q97" s="39"/>
      <c r="R97" s="39"/>
      <c r="S97" s="39"/>
      <c r="T97" s="39">
        <v>32.5</v>
      </c>
      <c r="U97" s="39"/>
      <c r="V97" s="39"/>
      <c r="W97" s="40"/>
      <c r="X97" s="40"/>
      <c r="Y97" s="40"/>
      <c r="Z97" s="40"/>
      <c r="AA97" s="40"/>
      <c r="AB97" s="40"/>
      <c r="AC97" s="40"/>
      <c r="AD97" s="40"/>
      <c r="AE97" s="40"/>
      <c r="AF97" s="40"/>
      <c r="AG97" s="40"/>
      <c r="AH97" s="40"/>
      <c r="AI97" s="40"/>
      <c r="AJ97" s="40"/>
      <c r="AK97" s="40"/>
      <c r="AL97" s="40"/>
      <c r="AM97" s="40"/>
      <c r="AN97" s="40"/>
      <c r="AO97" s="40"/>
      <c r="AP97" s="38"/>
      <c r="AQ97" s="38"/>
      <c r="AR97" s="25">
        <f t="shared" si="38"/>
        <v>32.5</v>
      </c>
      <c r="AS97" s="25">
        <f t="shared" si="39"/>
        <v>0</v>
      </c>
    </row>
    <row r="98" spans="1:45">
      <c r="A98" s="17">
        <v>41088</v>
      </c>
      <c r="B98" s="41" t="s">
        <v>231</v>
      </c>
      <c r="C98" s="37"/>
      <c r="D98" s="37"/>
      <c r="E98" s="37" t="s">
        <v>92</v>
      </c>
      <c r="F98" s="37"/>
      <c r="G98" s="37" t="s">
        <v>27</v>
      </c>
      <c r="H98" s="38"/>
      <c r="I98" s="16"/>
      <c r="J98" s="16">
        <v>183</v>
      </c>
      <c r="K98" s="16" t="str">
        <f t="shared" ref="K98:K100" si="46">IF(ISNUMBER(I98),"Debit",IF(ISNUMBER(J98),"Credit",""))</f>
        <v>Credit</v>
      </c>
      <c r="L98" s="16" t="s">
        <v>7</v>
      </c>
      <c r="M98" s="16">
        <f t="shared" ref="M98:M100" si="47">IF(K98="Debit",-I98,J98)</f>
        <v>183</v>
      </c>
      <c r="N98" s="16"/>
      <c r="O98" s="16">
        <v>183</v>
      </c>
      <c r="P98" s="39"/>
      <c r="Q98" s="39"/>
      <c r="R98" s="39"/>
      <c r="S98" s="39"/>
      <c r="T98" s="39"/>
      <c r="U98" s="39"/>
      <c r="V98" s="39"/>
      <c r="W98" s="40"/>
      <c r="X98" s="40"/>
      <c r="Y98" s="40"/>
      <c r="Z98" s="40"/>
      <c r="AA98" s="40"/>
      <c r="AB98" s="40"/>
      <c r="AC98" s="40"/>
      <c r="AD98" s="40"/>
      <c r="AE98" s="40"/>
      <c r="AF98" s="40"/>
      <c r="AG98" s="40"/>
      <c r="AH98" s="40"/>
      <c r="AI98" s="40"/>
      <c r="AJ98" s="40"/>
      <c r="AK98" s="40"/>
      <c r="AL98" s="40"/>
      <c r="AM98" s="40"/>
      <c r="AN98" s="40"/>
      <c r="AO98" s="40"/>
      <c r="AP98" s="38"/>
      <c r="AQ98" s="38"/>
      <c r="AR98" s="25">
        <f t="shared" si="38"/>
        <v>0</v>
      </c>
      <c r="AS98" s="25">
        <f t="shared" si="39"/>
        <v>183</v>
      </c>
    </row>
    <row r="99" spans="1:45">
      <c r="A99" s="17">
        <v>41075</v>
      </c>
      <c r="B99" s="41" t="s">
        <v>231</v>
      </c>
      <c r="C99" s="37"/>
      <c r="D99" s="37"/>
      <c r="E99" s="37" t="s">
        <v>121</v>
      </c>
      <c r="F99" s="37" t="s">
        <v>209</v>
      </c>
      <c r="G99" s="37" t="s">
        <v>27</v>
      </c>
      <c r="H99" s="38" t="s">
        <v>176</v>
      </c>
      <c r="I99" s="16"/>
      <c r="J99" s="16">
        <v>275</v>
      </c>
      <c r="K99" s="16" t="str">
        <f t="shared" si="46"/>
        <v>Credit</v>
      </c>
      <c r="L99" s="16" t="s">
        <v>121</v>
      </c>
      <c r="M99" s="16">
        <f t="shared" si="47"/>
        <v>275</v>
      </c>
      <c r="N99" s="16"/>
      <c r="O99" s="16">
        <v>275</v>
      </c>
      <c r="P99" s="39"/>
      <c r="Q99" s="39"/>
      <c r="R99" s="39"/>
      <c r="S99" s="39"/>
      <c r="T99" s="39"/>
      <c r="U99" s="39"/>
      <c r="V99" s="39"/>
      <c r="W99" s="40"/>
      <c r="X99" s="40"/>
      <c r="Y99" s="40"/>
      <c r="Z99" s="40"/>
      <c r="AA99" s="40"/>
      <c r="AB99" s="40"/>
      <c r="AC99" s="40"/>
      <c r="AD99" s="40"/>
      <c r="AE99" s="40"/>
      <c r="AF99" s="40"/>
      <c r="AG99" s="40"/>
      <c r="AH99" s="40"/>
      <c r="AI99" s="40"/>
      <c r="AJ99" s="40"/>
      <c r="AK99" s="40"/>
      <c r="AL99" s="40"/>
      <c r="AM99" s="40"/>
      <c r="AN99" s="40"/>
      <c r="AO99" s="40"/>
      <c r="AP99" s="38"/>
      <c r="AQ99" s="38"/>
      <c r="AR99" s="25">
        <f t="shared" si="38"/>
        <v>0</v>
      </c>
      <c r="AS99" s="25">
        <f t="shared" si="39"/>
        <v>275</v>
      </c>
    </row>
    <row r="100" spans="1:45">
      <c r="A100" s="17">
        <v>41071</v>
      </c>
      <c r="B100" s="41" t="s">
        <v>231</v>
      </c>
      <c r="C100" s="37"/>
      <c r="D100" s="37"/>
      <c r="E100" s="37" t="s">
        <v>121</v>
      </c>
      <c r="F100" s="37" t="s">
        <v>209</v>
      </c>
      <c r="G100" s="37" t="s">
        <v>27</v>
      </c>
      <c r="H100" s="38" t="s">
        <v>121</v>
      </c>
      <c r="I100" s="16"/>
      <c r="J100" s="16">
        <v>2062.5</v>
      </c>
      <c r="K100" s="16" t="str">
        <f t="shared" si="46"/>
        <v>Credit</v>
      </c>
      <c r="L100" s="16" t="s">
        <v>121</v>
      </c>
      <c r="M100" s="16">
        <f t="shared" si="47"/>
        <v>2062.5</v>
      </c>
      <c r="N100" s="16"/>
      <c r="O100" s="16"/>
      <c r="P100" s="39"/>
      <c r="Q100" s="39"/>
      <c r="R100" s="39"/>
      <c r="S100" s="39"/>
      <c r="T100" s="39"/>
      <c r="U100" s="39">
        <v>2062.5</v>
      </c>
      <c r="V100" s="39"/>
      <c r="W100" s="40"/>
      <c r="X100" s="40"/>
      <c r="Y100" s="40"/>
      <c r="Z100" s="40"/>
      <c r="AA100" s="40"/>
      <c r="AB100" s="40"/>
      <c r="AC100" s="40"/>
      <c r="AD100" s="40"/>
      <c r="AE100" s="40"/>
      <c r="AF100" s="40"/>
      <c r="AG100" s="40"/>
      <c r="AH100" s="40"/>
      <c r="AI100" s="40"/>
      <c r="AJ100" s="40"/>
      <c r="AK100" s="40"/>
      <c r="AL100" s="40"/>
      <c r="AM100" s="40"/>
      <c r="AN100" s="40"/>
      <c r="AO100" s="40"/>
      <c r="AP100" s="38"/>
      <c r="AQ100" s="38"/>
      <c r="AR100" s="25">
        <f t="shared" si="38"/>
        <v>0</v>
      </c>
      <c r="AS100" s="25">
        <f t="shared" si="39"/>
        <v>2062.5</v>
      </c>
    </row>
    <row r="101" spans="1:45">
      <c r="A101" s="17">
        <v>41068</v>
      </c>
      <c r="B101" s="41">
        <v>100148</v>
      </c>
      <c r="C101" s="37" t="s">
        <v>172</v>
      </c>
      <c r="D101" s="37" t="s">
        <v>210</v>
      </c>
      <c r="E101" s="37" t="s">
        <v>121</v>
      </c>
      <c r="F101" s="37" t="s">
        <v>189</v>
      </c>
      <c r="G101" s="37" t="s">
        <v>118</v>
      </c>
      <c r="H101" s="38" t="s">
        <v>211</v>
      </c>
      <c r="I101" s="16">
        <v>500</v>
      </c>
      <c r="J101" s="16"/>
      <c r="K101" s="16" t="str">
        <f t="shared" si="40"/>
        <v>Debit</v>
      </c>
      <c r="L101" s="16" t="s">
        <v>121</v>
      </c>
      <c r="M101" s="16">
        <f t="shared" si="41"/>
        <v>-500</v>
      </c>
      <c r="N101" s="16"/>
      <c r="O101" s="16"/>
      <c r="P101" s="39"/>
      <c r="Q101" s="39"/>
      <c r="R101" s="39"/>
      <c r="S101" s="39"/>
      <c r="T101" s="39">
        <v>500</v>
      </c>
      <c r="U101" s="39"/>
      <c r="V101" s="39"/>
      <c r="W101" s="40"/>
      <c r="X101" s="40"/>
      <c r="Y101" s="40"/>
      <c r="Z101" s="40"/>
      <c r="AA101" s="40"/>
      <c r="AB101" s="40"/>
      <c r="AC101" s="40"/>
      <c r="AD101" s="40"/>
      <c r="AE101" s="40"/>
      <c r="AF101" s="40"/>
      <c r="AG101" s="40"/>
      <c r="AH101" s="40"/>
      <c r="AI101" s="40"/>
      <c r="AJ101" s="40"/>
      <c r="AK101" s="40"/>
      <c r="AL101" s="40"/>
      <c r="AM101" s="40"/>
      <c r="AN101" s="40"/>
      <c r="AO101" s="40"/>
      <c r="AP101" s="38"/>
      <c r="AQ101" s="38"/>
      <c r="AR101" s="25">
        <f t="shared" si="38"/>
        <v>500</v>
      </c>
      <c r="AS101" s="25">
        <f t="shared" si="39"/>
        <v>0</v>
      </c>
    </row>
    <row r="102" spans="1:45">
      <c r="A102" s="17">
        <v>41067</v>
      </c>
      <c r="B102" s="41" t="s">
        <v>183</v>
      </c>
      <c r="C102" s="37" t="s">
        <v>172</v>
      </c>
      <c r="D102" s="37" t="s">
        <v>207</v>
      </c>
      <c r="E102" s="37" t="s">
        <v>121</v>
      </c>
      <c r="F102" s="37" t="s">
        <v>209</v>
      </c>
      <c r="G102" s="37" t="s">
        <v>118</v>
      </c>
      <c r="H102" s="38" t="s">
        <v>208</v>
      </c>
      <c r="I102" s="16">
        <v>250</v>
      </c>
      <c r="J102" s="16"/>
      <c r="K102" s="16" t="str">
        <f t="shared" si="40"/>
        <v>Debit</v>
      </c>
      <c r="L102" s="16" t="s">
        <v>121</v>
      </c>
      <c r="M102" s="16">
        <f t="shared" si="41"/>
        <v>-250</v>
      </c>
      <c r="N102" s="16"/>
      <c r="O102" s="16"/>
      <c r="P102" s="39"/>
      <c r="Q102" s="39"/>
      <c r="R102" s="39"/>
      <c r="S102" s="39"/>
      <c r="T102" s="39">
        <v>250</v>
      </c>
      <c r="U102" s="39"/>
      <c r="V102" s="39"/>
      <c r="W102" s="40"/>
      <c r="X102" s="40"/>
      <c r="Y102" s="40"/>
      <c r="Z102" s="40"/>
      <c r="AA102" s="40"/>
      <c r="AB102" s="40"/>
      <c r="AC102" s="40"/>
      <c r="AD102" s="40"/>
      <c r="AE102" s="40"/>
      <c r="AF102" s="40"/>
      <c r="AG102" s="40"/>
      <c r="AH102" s="40"/>
      <c r="AI102" s="40"/>
      <c r="AJ102" s="40"/>
      <c r="AK102" s="40"/>
      <c r="AL102" s="40"/>
      <c r="AM102" s="40"/>
      <c r="AN102" s="40"/>
      <c r="AO102" s="40"/>
      <c r="AP102" s="38"/>
      <c r="AQ102" s="38"/>
      <c r="AR102" s="25">
        <f t="shared" si="38"/>
        <v>250</v>
      </c>
      <c r="AS102" s="25">
        <f t="shared" si="39"/>
        <v>0</v>
      </c>
    </row>
    <row r="103" spans="1:45">
      <c r="A103" s="17">
        <v>41067</v>
      </c>
      <c r="B103" s="41" t="s">
        <v>183</v>
      </c>
      <c r="C103" s="37" t="s">
        <v>172</v>
      </c>
      <c r="D103" s="37" t="s">
        <v>205</v>
      </c>
      <c r="E103" s="37" t="s">
        <v>121</v>
      </c>
      <c r="F103" s="37" t="s">
        <v>189</v>
      </c>
      <c r="G103" s="37" t="s">
        <v>118</v>
      </c>
      <c r="H103" s="38" t="s">
        <v>206</v>
      </c>
      <c r="I103" s="16">
        <v>510</v>
      </c>
      <c r="J103" s="16"/>
      <c r="K103" s="16" t="str">
        <f t="shared" si="40"/>
        <v>Debit</v>
      </c>
      <c r="L103" s="16" t="s">
        <v>121</v>
      </c>
      <c r="M103" s="16">
        <f t="shared" si="41"/>
        <v>-510</v>
      </c>
      <c r="N103" s="16"/>
      <c r="O103" s="16"/>
      <c r="P103" s="39"/>
      <c r="Q103" s="39"/>
      <c r="R103" s="39"/>
      <c r="S103" s="39"/>
      <c r="T103" s="39">
        <v>510</v>
      </c>
      <c r="U103" s="39"/>
      <c r="V103" s="39"/>
      <c r="W103" s="40"/>
      <c r="X103" s="40"/>
      <c r="Y103" s="40"/>
      <c r="Z103" s="40"/>
      <c r="AA103" s="40"/>
      <c r="AB103" s="40"/>
      <c r="AC103" s="40"/>
      <c r="AD103" s="40"/>
      <c r="AE103" s="40"/>
      <c r="AF103" s="40"/>
      <c r="AG103" s="40"/>
      <c r="AH103" s="40"/>
      <c r="AI103" s="40"/>
      <c r="AJ103" s="40"/>
      <c r="AK103" s="40"/>
      <c r="AL103" s="40"/>
      <c r="AM103" s="40"/>
      <c r="AN103" s="40"/>
      <c r="AO103" s="40"/>
      <c r="AP103" s="38"/>
      <c r="AQ103" s="38"/>
      <c r="AR103" s="25">
        <f t="shared" si="38"/>
        <v>510</v>
      </c>
      <c r="AS103" s="25">
        <f t="shared" si="39"/>
        <v>0</v>
      </c>
    </row>
    <row r="104" spans="1:45">
      <c r="A104" s="17">
        <v>41067</v>
      </c>
      <c r="B104" s="41" t="s">
        <v>183</v>
      </c>
      <c r="C104" s="37" t="s">
        <v>172</v>
      </c>
      <c r="D104" s="37" t="s">
        <v>204</v>
      </c>
      <c r="E104" s="37" t="s">
        <v>121</v>
      </c>
      <c r="F104" s="37"/>
      <c r="G104" s="37" t="s">
        <v>120</v>
      </c>
      <c r="H104" s="38" t="s">
        <v>176</v>
      </c>
      <c r="I104" s="16">
        <v>560</v>
      </c>
      <c r="J104" s="16"/>
      <c r="K104" s="16" t="str">
        <f t="shared" si="40"/>
        <v>Debit</v>
      </c>
      <c r="L104" s="16" t="s">
        <v>121</v>
      </c>
      <c r="M104" s="16">
        <f t="shared" si="41"/>
        <v>-560</v>
      </c>
      <c r="N104" s="16"/>
      <c r="O104" s="16"/>
      <c r="P104" s="39"/>
      <c r="Q104" s="39"/>
      <c r="R104" s="39"/>
      <c r="S104" s="39"/>
      <c r="T104" s="39">
        <v>560</v>
      </c>
      <c r="U104" s="39"/>
      <c r="V104" s="39"/>
      <c r="W104" s="40"/>
      <c r="X104" s="40"/>
      <c r="Y104" s="40"/>
      <c r="Z104" s="40"/>
      <c r="AA104" s="40"/>
      <c r="AB104" s="40"/>
      <c r="AC104" s="40"/>
      <c r="AD104" s="40"/>
      <c r="AE104" s="40"/>
      <c r="AF104" s="40"/>
      <c r="AG104" s="40"/>
      <c r="AH104" s="40"/>
      <c r="AI104" s="40"/>
      <c r="AJ104" s="40"/>
      <c r="AK104" s="40"/>
      <c r="AL104" s="40"/>
      <c r="AM104" s="40"/>
      <c r="AN104" s="40"/>
      <c r="AO104" s="40"/>
      <c r="AP104" s="38"/>
      <c r="AQ104" s="38"/>
      <c r="AR104" s="25">
        <f t="shared" si="38"/>
        <v>560</v>
      </c>
      <c r="AS104" s="25">
        <f t="shared" si="39"/>
        <v>0</v>
      </c>
    </row>
    <row r="105" spans="1:45">
      <c r="A105" s="17">
        <v>41067</v>
      </c>
      <c r="B105" s="41" t="s">
        <v>183</v>
      </c>
      <c r="C105" s="37" t="s">
        <v>172</v>
      </c>
      <c r="D105" s="37" t="s">
        <v>202</v>
      </c>
      <c r="E105" s="37" t="s">
        <v>121</v>
      </c>
      <c r="F105" s="37"/>
      <c r="G105" s="37" t="s">
        <v>118</v>
      </c>
      <c r="H105" s="38" t="s">
        <v>203</v>
      </c>
      <c r="I105" s="16">
        <v>750</v>
      </c>
      <c r="J105" s="16"/>
      <c r="K105" s="16" t="str">
        <f t="shared" si="40"/>
        <v>Debit</v>
      </c>
      <c r="L105" s="16" t="s">
        <v>121</v>
      </c>
      <c r="M105" s="16">
        <f t="shared" si="41"/>
        <v>-750</v>
      </c>
      <c r="N105" s="16"/>
      <c r="O105" s="16"/>
      <c r="P105" s="39"/>
      <c r="Q105" s="39"/>
      <c r="R105" s="39"/>
      <c r="S105" s="39"/>
      <c r="T105" s="39">
        <v>750</v>
      </c>
      <c r="U105" s="39"/>
      <c r="V105" s="39"/>
      <c r="W105" s="40"/>
      <c r="X105" s="40"/>
      <c r="Y105" s="40"/>
      <c r="Z105" s="40"/>
      <c r="AA105" s="40"/>
      <c r="AB105" s="40"/>
      <c r="AC105" s="40"/>
      <c r="AD105" s="40"/>
      <c r="AE105" s="40"/>
      <c r="AF105" s="40"/>
      <c r="AG105" s="40"/>
      <c r="AH105" s="40"/>
      <c r="AI105" s="40"/>
      <c r="AJ105" s="40"/>
      <c r="AK105" s="40"/>
      <c r="AL105" s="40"/>
      <c r="AM105" s="40"/>
      <c r="AN105" s="40"/>
      <c r="AO105" s="40"/>
      <c r="AP105" s="38"/>
      <c r="AQ105" s="38"/>
      <c r="AR105" s="25">
        <f t="shared" si="38"/>
        <v>750</v>
      </c>
      <c r="AS105" s="25">
        <f t="shared" si="39"/>
        <v>0</v>
      </c>
    </row>
    <row r="106" spans="1:45">
      <c r="A106" s="17">
        <v>41067</v>
      </c>
      <c r="B106" s="41" t="s">
        <v>183</v>
      </c>
      <c r="C106" s="37" t="s">
        <v>172</v>
      </c>
      <c r="D106" s="37" t="s">
        <v>200</v>
      </c>
      <c r="E106" s="37" t="s">
        <v>121</v>
      </c>
      <c r="F106" s="37"/>
      <c r="G106" s="37" t="s">
        <v>118</v>
      </c>
      <c r="H106" s="38" t="s">
        <v>201</v>
      </c>
      <c r="I106" s="16">
        <v>500</v>
      </c>
      <c r="J106" s="16"/>
      <c r="K106" s="16" t="str">
        <f t="shared" si="40"/>
        <v>Debit</v>
      </c>
      <c r="L106" s="16" t="s">
        <v>121</v>
      </c>
      <c r="M106" s="16">
        <f t="shared" si="41"/>
        <v>-500</v>
      </c>
      <c r="N106" s="16"/>
      <c r="O106" s="16"/>
      <c r="P106" s="39"/>
      <c r="Q106" s="39"/>
      <c r="R106" s="39"/>
      <c r="S106" s="39"/>
      <c r="T106" s="39">
        <v>500</v>
      </c>
      <c r="U106" s="39"/>
      <c r="V106" s="39"/>
      <c r="W106" s="40"/>
      <c r="X106" s="40"/>
      <c r="Y106" s="40"/>
      <c r="Z106" s="40"/>
      <c r="AA106" s="40"/>
      <c r="AB106" s="40"/>
      <c r="AC106" s="40"/>
      <c r="AD106" s="40"/>
      <c r="AE106" s="40"/>
      <c r="AF106" s="40"/>
      <c r="AG106" s="40"/>
      <c r="AH106" s="40"/>
      <c r="AI106" s="40"/>
      <c r="AJ106" s="40"/>
      <c r="AK106" s="40"/>
      <c r="AL106" s="40"/>
      <c r="AM106" s="40"/>
      <c r="AN106" s="40"/>
      <c r="AO106" s="40"/>
      <c r="AP106" s="38"/>
      <c r="AQ106" s="38"/>
      <c r="AR106" s="25">
        <f t="shared" si="38"/>
        <v>500</v>
      </c>
      <c r="AS106" s="25">
        <f t="shared" si="39"/>
        <v>0</v>
      </c>
    </row>
    <row r="107" spans="1:45">
      <c r="A107" s="17">
        <v>41039</v>
      </c>
      <c r="B107" s="41" t="s">
        <v>231</v>
      </c>
      <c r="C107" s="37"/>
      <c r="D107" s="37"/>
      <c r="E107" s="37" t="s">
        <v>121</v>
      </c>
      <c r="F107" s="37" t="s">
        <v>189</v>
      </c>
      <c r="G107" s="37" t="s">
        <v>27</v>
      </c>
      <c r="H107" s="38" t="s">
        <v>176</v>
      </c>
      <c r="I107" s="16"/>
      <c r="J107" s="16">
        <v>2475</v>
      </c>
      <c r="K107" s="16" t="str">
        <f t="shared" ref="K107" si="48">IF(ISNUMBER(I107),"Debit",IF(ISNUMBER(J107),"Credit",""))</f>
        <v>Credit</v>
      </c>
      <c r="L107" s="16" t="s">
        <v>121</v>
      </c>
      <c r="M107" s="16">
        <f t="shared" ref="M107" si="49">IF(K107="Debit",-I107,J107)</f>
        <v>2475</v>
      </c>
      <c r="N107" s="16"/>
      <c r="O107" s="16"/>
      <c r="P107" s="39"/>
      <c r="Q107" s="39"/>
      <c r="R107" s="39"/>
      <c r="S107" s="39"/>
      <c r="T107" s="39"/>
      <c r="U107" s="39">
        <v>2475</v>
      </c>
      <c r="V107" s="39"/>
      <c r="W107" s="40"/>
      <c r="X107" s="40"/>
      <c r="Y107" s="40"/>
      <c r="Z107" s="40"/>
      <c r="AA107" s="40"/>
      <c r="AB107" s="40"/>
      <c r="AC107" s="40"/>
      <c r="AD107" s="40"/>
      <c r="AE107" s="40"/>
      <c r="AF107" s="40"/>
      <c r="AG107" s="40"/>
      <c r="AH107" s="40"/>
      <c r="AI107" s="40"/>
      <c r="AJ107" s="40"/>
      <c r="AK107" s="40"/>
      <c r="AL107" s="40"/>
      <c r="AM107" s="40"/>
      <c r="AN107" s="40"/>
      <c r="AO107" s="40"/>
      <c r="AP107" s="38"/>
      <c r="AQ107" s="38"/>
      <c r="AR107" s="25">
        <f t="shared" si="38"/>
        <v>0</v>
      </c>
      <c r="AS107" s="25">
        <f t="shared" si="39"/>
        <v>2475</v>
      </c>
    </row>
    <row r="108" spans="1:45">
      <c r="A108" s="17">
        <v>41039</v>
      </c>
      <c r="B108" s="41" t="s">
        <v>231</v>
      </c>
      <c r="C108" s="37"/>
      <c r="D108" s="37"/>
      <c r="E108" s="37" t="s">
        <v>121</v>
      </c>
      <c r="F108" s="37" t="s">
        <v>253</v>
      </c>
      <c r="G108" s="37" t="s">
        <v>27</v>
      </c>
      <c r="H108" s="38" t="s">
        <v>176</v>
      </c>
      <c r="I108" s="16"/>
      <c r="J108" s="16">
        <v>90</v>
      </c>
      <c r="K108" s="16" t="str">
        <f t="shared" ref="K108" si="50">IF(ISNUMBER(I108),"Debit",IF(ISNUMBER(J108),"Credit",""))</f>
        <v>Credit</v>
      </c>
      <c r="L108" s="16" t="s">
        <v>121</v>
      </c>
      <c r="M108" s="16">
        <f t="shared" ref="M108" si="51">IF(K108="Debit",-I108,J108)</f>
        <v>90</v>
      </c>
      <c r="N108" s="16"/>
      <c r="O108" s="16"/>
      <c r="P108" s="39"/>
      <c r="Q108" s="39"/>
      <c r="R108" s="39"/>
      <c r="S108" s="39"/>
      <c r="T108" s="39"/>
      <c r="U108" s="39">
        <v>90</v>
      </c>
      <c r="V108" s="39"/>
      <c r="W108" s="40"/>
      <c r="X108" s="40"/>
      <c r="Y108" s="40"/>
      <c r="Z108" s="40"/>
      <c r="AA108" s="40"/>
      <c r="AB108" s="40"/>
      <c r="AC108" s="40"/>
      <c r="AD108" s="40"/>
      <c r="AE108" s="40"/>
      <c r="AF108" s="40"/>
      <c r="AG108" s="40"/>
      <c r="AH108" s="40"/>
      <c r="AI108" s="40"/>
      <c r="AJ108" s="40"/>
      <c r="AK108" s="40"/>
      <c r="AL108" s="40"/>
      <c r="AM108" s="40"/>
      <c r="AN108" s="40"/>
      <c r="AO108" s="40"/>
      <c r="AP108" s="38"/>
      <c r="AQ108" s="38"/>
      <c r="AR108" s="25">
        <f t="shared" si="38"/>
        <v>0</v>
      </c>
      <c r="AS108" s="25">
        <f t="shared" si="39"/>
        <v>90</v>
      </c>
    </row>
    <row r="109" spans="1:45">
      <c r="A109" s="17">
        <v>41026</v>
      </c>
      <c r="B109" s="41" t="s">
        <v>231</v>
      </c>
      <c r="C109" s="37"/>
      <c r="D109" s="37"/>
      <c r="E109" s="37" t="s">
        <v>92</v>
      </c>
      <c r="F109" s="37"/>
      <c r="G109" s="37" t="s">
        <v>106</v>
      </c>
      <c r="H109" s="38" t="s">
        <v>234</v>
      </c>
      <c r="I109" s="16"/>
      <c r="J109" s="16">
        <v>100</v>
      </c>
      <c r="K109" s="16" t="str">
        <f t="shared" ref="K109" si="52">IF(ISNUMBER(I109),"Debit",IF(ISNUMBER(J109),"Credit",""))</f>
        <v>Credit</v>
      </c>
      <c r="L109" s="16" t="s">
        <v>105</v>
      </c>
      <c r="M109" s="16">
        <f t="shared" ref="M109" si="53">IF(K109="Debit",-I109,J109)</f>
        <v>100</v>
      </c>
      <c r="N109" s="16"/>
      <c r="O109" s="16"/>
      <c r="P109" s="39"/>
      <c r="Q109" s="39"/>
      <c r="R109" s="39"/>
      <c r="S109" s="39"/>
      <c r="T109" s="39"/>
      <c r="U109" s="39"/>
      <c r="V109" s="39"/>
      <c r="W109" s="40"/>
      <c r="X109" s="40"/>
      <c r="Y109" s="40"/>
      <c r="Z109" s="40"/>
      <c r="AA109" s="40"/>
      <c r="AB109" s="40"/>
      <c r="AC109" s="40"/>
      <c r="AD109" s="40"/>
      <c r="AE109" s="40"/>
      <c r="AF109" s="40"/>
      <c r="AG109" s="40"/>
      <c r="AH109" s="40"/>
      <c r="AI109" s="40"/>
      <c r="AJ109" s="40"/>
      <c r="AK109" s="40"/>
      <c r="AL109" s="40"/>
      <c r="AM109" s="40"/>
      <c r="AN109" s="40"/>
      <c r="AO109" s="40"/>
      <c r="AP109" s="38"/>
      <c r="AQ109" s="38">
        <v>100</v>
      </c>
      <c r="AR109" s="25">
        <f t="shared" si="38"/>
        <v>0</v>
      </c>
      <c r="AS109" s="25">
        <f t="shared" si="39"/>
        <v>100</v>
      </c>
    </row>
    <row r="110" spans="1:45">
      <c r="A110" s="17">
        <v>41012</v>
      </c>
      <c r="B110" s="41" t="s">
        <v>183</v>
      </c>
      <c r="C110" s="37" t="s">
        <v>172</v>
      </c>
      <c r="D110" s="37" t="s">
        <v>197</v>
      </c>
      <c r="E110" s="37" t="s">
        <v>121</v>
      </c>
      <c r="F110" s="37" t="s">
        <v>189</v>
      </c>
      <c r="G110" s="37" t="s">
        <v>118</v>
      </c>
      <c r="H110" s="38" t="s">
        <v>198</v>
      </c>
      <c r="I110" s="16">
        <v>551.04999999999995</v>
      </c>
      <c r="J110" s="16"/>
      <c r="K110" s="16" t="str">
        <f t="shared" si="40"/>
        <v>Debit</v>
      </c>
      <c r="L110" s="16" t="s">
        <v>121</v>
      </c>
      <c r="M110" s="16">
        <f t="shared" si="41"/>
        <v>-551.04999999999995</v>
      </c>
      <c r="N110" s="16"/>
      <c r="O110" s="16"/>
      <c r="P110" s="39"/>
      <c r="Q110" s="39"/>
      <c r="R110" s="39"/>
      <c r="S110" s="39"/>
      <c r="T110" s="39">
        <v>551.04999999999995</v>
      </c>
      <c r="U110" s="39"/>
      <c r="V110" s="39"/>
      <c r="W110" s="40"/>
      <c r="X110" s="40"/>
      <c r="Y110" s="40"/>
      <c r="Z110" s="40"/>
      <c r="AA110" s="40"/>
      <c r="AB110" s="40"/>
      <c r="AC110" s="40"/>
      <c r="AD110" s="40"/>
      <c r="AE110" s="40"/>
      <c r="AF110" s="40"/>
      <c r="AG110" s="40"/>
      <c r="AH110" s="40"/>
      <c r="AI110" s="40"/>
      <c r="AJ110" s="40"/>
      <c r="AK110" s="40"/>
      <c r="AL110" s="40"/>
      <c r="AM110" s="40"/>
      <c r="AN110" s="40"/>
      <c r="AO110" s="40"/>
      <c r="AP110" s="38"/>
      <c r="AQ110" s="38"/>
      <c r="AR110" s="25">
        <f t="shared" si="38"/>
        <v>551.04999999999995</v>
      </c>
      <c r="AS110" s="25">
        <f t="shared" si="39"/>
        <v>0</v>
      </c>
    </row>
    <row r="111" spans="1:45">
      <c r="A111" s="17">
        <v>41012</v>
      </c>
      <c r="B111" s="41" t="s">
        <v>183</v>
      </c>
      <c r="C111" s="37" t="s">
        <v>172</v>
      </c>
      <c r="D111" s="37" t="s">
        <v>196</v>
      </c>
      <c r="E111" s="37" t="s">
        <v>121</v>
      </c>
      <c r="F111" s="37" t="s">
        <v>189</v>
      </c>
      <c r="G111" s="37" t="s">
        <v>118</v>
      </c>
      <c r="H111" s="38" t="s">
        <v>199</v>
      </c>
      <c r="I111" s="16">
        <v>500</v>
      </c>
      <c r="J111" s="16"/>
      <c r="K111" s="16" t="str">
        <f t="shared" si="40"/>
        <v>Debit</v>
      </c>
      <c r="L111" s="16" t="s">
        <v>121</v>
      </c>
      <c r="M111" s="16">
        <f t="shared" si="41"/>
        <v>-500</v>
      </c>
      <c r="N111" s="16"/>
      <c r="O111" s="16"/>
      <c r="P111" s="39"/>
      <c r="Q111" s="39"/>
      <c r="R111" s="39"/>
      <c r="S111" s="39"/>
      <c r="T111" s="39">
        <v>500</v>
      </c>
      <c r="U111" s="39"/>
      <c r="V111" s="39"/>
      <c r="W111" s="40"/>
      <c r="X111" s="40"/>
      <c r="Y111" s="40"/>
      <c r="Z111" s="40"/>
      <c r="AA111" s="40"/>
      <c r="AB111" s="40"/>
      <c r="AC111" s="40"/>
      <c r="AD111" s="40"/>
      <c r="AE111" s="40"/>
      <c r="AF111" s="40"/>
      <c r="AG111" s="40"/>
      <c r="AH111" s="40"/>
      <c r="AI111" s="40"/>
      <c r="AJ111" s="40"/>
      <c r="AK111" s="40"/>
      <c r="AL111" s="40"/>
      <c r="AM111" s="40"/>
      <c r="AN111" s="40"/>
      <c r="AO111" s="40"/>
      <c r="AP111" s="38"/>
      <c r="AQ111" s="38"/>
      <c r="AR111" s="25">
        <f t="shared" si="38"/>
        <v>500</v>
      </c>
      <c r="AS111" s="25">
        <f t="shared" si="39"/>
        <v>0</v>
      </c>
    </row>
    <row r="112" spans="1:45">
      <c r="A112" s="17">
        <v>41012</v>
      </c>
      <c r="B112" s="41" t="s">
        <v>183</v>
      </c>
      <c r="C112" s="37" t="s">
        <v>172</v>
      </c>
      <c r="D112" s="37" t="s">
        <v>194</v>
      </c>
      <c r="E112" s="37" t="s">
        <v>121</v>
      </c>
      <c r="F112" s="37" t="s">
        <v>253</v>
      </c>
      <c r="G112" s="37" t="s">
        <v>118</v>
      </c>
      <c r="H112" s="38" t="s">
        <v>195</v>
      </c>
      <c r="I112" s="16">
        <v>40</v>
      </c>
      <c r="J112" s="16"/>
      <c r="K112" s="16" t="str">
        <f t="shared" si="40"/>
        <v>Debit</v>
      </c>
      <c r="L112" s="16" t="s">
        <v>121</v>
      </c>
      <c r="M112" s="16">
        <f t="shared" si="41"/>
        <v>-40</v>
      </c>
      <c r="N112" s="16">
        <v>40</v>
      </c>
      <c r="O112" s="16"/>
      <c r="P112" s="39"/>
      <c r="Q112" s="39"/>
      <c r="R112" s="39"/>
      <c r="S112" s="39"/>
      <c r="T112" s="39"/>
      <c r="U112" s="39"/>
      <c r="V112" s="39"/>
      <c r="W112" s="40"/>
      <c r="X112" s="40"/>
      <c r="Y112" s="40"/>
      <c r="Z112" s="40"/>
      <c r="AA112" s="40"/>
      <c r="AB112" s="40"/>
      <c r="AC112" s="40"/>
      <c r="AD112" s="40"/>
      <c r="AE112" s="40"/>
      <c r="AF112" s="40"/>
      <c r="AG112" s="40"/>
      <c r="AH112" s="40"/>
      <c r="AI112" s="40"/>
      <c r="AJ112" s="40"/>
      <c r="AK112" s="40"/>
      <c r="AL112" s="40"/>
      <c r="AM112" s="40"/>
      <c r="AN112" s="40"/>
      <c r="AO112" s="40"/>
      <c r="AP112" s="38"/>
      <c r="AQ112" s="38"/>
      <c r="AR112" s="25">
        <f t="shared" si="38"/>
        <v>40</v>
      </c>
      <c r="AS112" s="25">
        <f t="shared" si="39"/>
        <v>0</v>
      </c>
    </row>
    <row r="113" spans="1:45">
      <c r="A113" s="17">
        <v>41012</v>
      </c>
      <c r="B113" s="41" t="s">
        <v>183</v>
      </c>
      <c r="C113" s="37" t="s">
        <v>172</v>
      </c>
      <c r="D113" s="37" t="s">
        <v>193</v>
      </c>
      <c r="E113" s="37" t="s">
        <v>121</v>
      </c>
      <c r="F113" s="37" t="s">
        <v>189</v>
      </c>
      <c r="G113" s="37" t="s">
        <v>120</v>
      </c>
      <c r="H113" s="38" t="s">
        <v>176</v>
      </c>
      <c r="I113" s="16">
        <v>640</v>
      </c>
      <c r="J113" s="16"/>
      <c r="K113" s="16" t="str">
        <f t="shared" ref="K113" si="54">IF(ISNUMBER(I113),"Debit",IF(ISNUMBER(J113),"Credit",""))</f>
        <v>Debit</v>
      </c>
      <c r="L113" s="16" t="s">
        <v>121</v>
      </c>
      <c r="M113" s="16">
        <f t="shared" ref="M113" si="55">IF(K113="Debit",-I113,J113)</f>
        <v>-640</v>
      </c>
      <c r="N113" s="16"/>
      <c r="O113" s="16"/>
      <c r="P113" s="39"/>
      <c r="Q113" s="39"/>
      <c r="R113" s="39"/>
      <c r="S113" s="39"/>
      <c r="T113" s="39">
        <v>640</v>
      </c>
      <c r="U113" s="39"/>
      <c r="V113" s="39"/>
      <c r="W113" s="40"/>
      <c r="X113" s="40"/>
      <c r="Y113" s="40"/>
      <c r="Z113" s="40"/>
      <c r="AA113" s="40"/>
      <c r="AB113" s="40"/>
      <c r="AC113" s="40"/>
      <c r="AD113" s="40"/>
      <c r="AE113" s="40"/>
      <c r="AF113" s="40"/>
      <c r="AG113" s="40"/>
      <c r="AH113" s="40"/>
      <c r="AI113" s="40"/>
      <c r="AJ113" s="40"/>
      <c r="AK113" s="40"/>
      <c r="AL113" s="40"/>
      <c r="AM113" s="40"/>
      <c r="AN113" s="40"/>
      <c r="AO113" s="40"/>
      <c r="AP113" s="38"/>
      <c r="AQ113" s="38"/>
      <c r="AR113" s="25">
        <f t="shared" si="38"/>
        <v>640</v>
      </c>
      <c r="AS113" s="25">
        <f t="shared" si="39"/>
        <v>0</v>
      </c>
    </row>
    <row r="114" spans="1:45">
      <c r="A114" s="17">
        <v>41011</v>
      </c>
      <c r="B114" s="41" t="s">
        <v>231</v>
      </c>
      <c r="C114" s="37"/>
      <c r="D114" s="37"/>
      <c r="E114" s="37" t="s">
        <v>92</v>
      </c>
      <c r="F114" s="37"/>
      <c r="G114" s="37" t="s">
        <v>106</v>
      </c>
      <c r="H114" s="38" t="s">
        <v>235</v>
      </c>
      <c r="I114" s="16"/>
      <c r="J114" s="16">
        <v>50</v>
      </c>
      <c r="K114" s="16" t="str">
        <f t="shared" ref="K114:K117" si="56">IF(ISNUMBER(I114),"Debit",IF(ISNUMBER(J114),"Credit",""))</f>
        <v>Credit</v>
      </c>
      <c r="L114" s="16" t="s">
        <v>105</v>
      </c>
      <c r="M114" s="16">
        <f t="shared" ref="M114:M117" si="57">IF(K114="Debit",-I114,J114)</f>
        <v>50</v>
      </c>
      <c r="N114" s="16"/>
      <c r="O114" s="16"/>
      <c r="P114" s="39"/>
      <c r="Q114" s="39"/>
      <c r="R114" s="39"/>
      <c r="S114" s="39"/>
      <c r="T114" s="39"/>
      <c r="U114" s="39"/>
      <c r="V114" s="39"/>
      <c r="W114" s="40"/>
      <c r="X114" s="40"/>
      <c r="Y114" s="40"/>
      <c r="Z114" s="40"/>
      <c r="AA114" s="40"/>
      <c r="AB114" s="40"/>
      <c r="AC114" s="40"/>
      <c r="AD114" s="40"/>
      <c r="AE114" s="40"/>
      <c r="AF114" s="40"/>
      <c r="AG114" s="40"/>
      <c r="AH114" s="40"/>
      <c r="AI114" s="40"/>
      <c r="AJ114" s="40"/>
      <c r="AK114" s="40"/>
      <c r="AL114" s="40"/>
      <c r="AM114" s="40"/>
      <c r="AN114" s="40"/>
      <c r="AO114" s="40"/>
      <c r="AP114" s="38"/>
      <c r="AQ114" s="38">
        <v>50</v>
      </c>
      <c r="AR114" s="25">
        <f t="shared" si="38"/>
        <v>0</v>
      </c>
      <c r="AS114" s="25">
        <f t="shared" si="39"/>
        <v>50</v>
      </c>
    </row>
    <row r="115" spans="1:45">
      <c r="A115" s="17">
        <v>41007</v>
      </c>
      <c r="B115" s="41" t="s">
        <v>231</v>
      </c>
      <c r="C115" s="37"/>
      <c r="D115" s="37"/>
      <c r="E115" s="37" t="s">
        <v>92</v>
      </c>
      <c r="F115" s="37"/>
      <c r="G115" s="37" t="s">
        <v>106</v>
      </c>
      <c r="H115" s="38" t="s">
        <v>236</v>
      </c>
      <c r="I115" s="16"/>
      <c r="J115" s="16">
        <v>50</v>
      </c>
      <c r="K115" s="16" t="str">
        <f t="shared" si="56"/>
        <v>Credit</v>
      </c>
      <c r="L115" s="16" t="s">
        <v>105</v>
      </c>
      <c r="M115" s="16">
        <f t="shared" si="57"/>
        <v>50</v>
      </c>
      <c r="N115" s="16"/>
      <c r="O115" s="16"/>
      <c r="P115" s="39"/>
      <c r="Q115" s="39"/>
      <c r="R115" s="39"/>
      <c r="S115" s="39"/>
      <c r="T115" s="39"/>
      <c r="U115" s="39"/>
      <c r="V115" s="39"/>
      <c r="W115" s="40"/>
      <c r="X115" s="40"/>
      <c r="Y115" s="40"/>
      <c r="Z115" s="40"/>
      <c r="AA115" s="40"/>
      <c r="AB115" s="40"/>
      <c r="AC115" s="40"/>
      <c r="AD115" s="40"/>
      <c r="AE115" s="40"/>
      <c r="AF115" s="40"/>
      <c r="AG115" s="40"/>
      <c r="AH115" s="40"/>
      <c r="AI115" s="40"/>
      <c r="AJ115" s="40"/>
      <c r="AK115" s="40"/>
      <c r="AL115" s="40"/>
      <c r="AM115" s="40"/>
      <c r="AN115" s="40"/>
      <c r="AO115" s="40"/>
      <c r="AP115" s="38"/>
      <c r="AQ115" s="38">
        <v>50</v>
      </c>
      <c r="AR115" s="25">
        <f t="shared" si="38"/>
        <v>0</v>
      </c>
      <c r="AS115" s="25">
        <f t="shared" si="39"/>
        <v>50</v>
      </c>
    </row>
    <row r="116" spans="1:45">
      <c r="A116" s="17">
        <v>41005</v>
      </c>
      <c r="B116" s="41" t="s">
        <v>231</v>
      </c>
      <c r="C116" s="37"/>
      <c r="D116" s="37"/>
      <c r="E116" s="37" t="s">
        <v>92</v>
      </c>
      <c r="F116" s="37"/>
      <c r="G116" s="37" t="s">
        <v>106</v>
      </c>
      <c r="H116" s="38" t="s">
        <v>237</v>
      </c>
      <c r="I116" s="16"/>
      <c r="J116" s="16">
        <v>50</v>
      </c>
      <c r="K116" s="16" t="str">
        <f t="shared" si="56"/>
        <v>Credit</v>
      </c>
      <c r="L116" s="16" t="s">
        <v>105</v>
      </c>
      <c r="M116" s="16">
        <f t="shared" si="57"/>
        <v>50</v>
      </c>
      <c r="N116" s="16"/>
      <c r="O116" s="16"/>
      <c r="P116" s="39"/>
      <c r="Q116" s="39"/>
      <c r="R116" s="39"/>
      <c r="S116" s="39"/>
      <c r="T116" s="39"/>
      <c r="U116" s="39"/>
      <c r="V116" s="39"/>
      <c r="W116" s="40"/>
      <c r="X116" s="40"/>
      <c r="Y116" s="40"/>
      <c r="Z116" s="40"/>
      <c r="AA116" s="40"/>
      <c r="AB116" s="40"/>
      <c r="AC116" s="40"/>
      <c r="AD116" s="40"/>
      <c r="AE116" s="40"/>
      <c r="AF116" s="40"/>
      <c r="AG116" s="40"/>
      <c r="AH116" s="40"/>
      <c r="AI116" s="40"/>
      <c r="AJ116" s="40"/>
      <c r="AK116" s="40"/>
      <c r="AL116" s="40"/>
      <c r="AM116" s="40"/>
      <c r="AN116" s="40"/>
      <c r="AO116" s="40"/>
      <c r="AP116" s="38"/>
      <c r="AQ116" s="38">
        <v>50</v>
      </c>
      <c r="AR116" s="25">
        <f t="shared" si="38"/>
        <v>0</v>
      </c>
      <c r="AS116" s="25">
        <f t="shared" si="39"/>
        <v>50</v>
      </c>
    </row>
    <row r="117" spans="1:45">
      <c r="A117" s="17">
        <v>41002</v>
      </c>
      <c r="B117" s="41" t="s">
        <v>231</v>
      </c>
      <c r="C117" s="37"/>
      <c r="D117" s="37"/>
      <c r="E117" s="37" t="s">
        <v>92</v>
      </c>
      <c r="F117" s="37"/>
      <c r="G117" s="37" t="s">
        <v>106</v>
      </c>
      <c r="H117" s="38" t="s">
        <v>231</v>
      </c>
      <c r="I117" s="16"/>
      <c r="J117" s="16">
        <v>50</v>
      </c>
      <c r="K117" s="16" t="str">
        <f t="shared" si="56"/>
        <v>Credit</v>
      </c>
      <c r="L117" s="16" t="s">
        <v>105</v>
      </c>
      <c r="M117" s="16">
        <f t="shared" si="57"/>
        <v>50</v>
      </c>
      <c r="N117" s="16"/>
      <c r="O117" s="16"/>
      <c r="P117" s="39"/>
      <c r="Q117" s="39"/>
      <c r="R117" s="39"/>
      <c r="S117" s="39"/>
      <c r="T117" s="39"/>
      <c r="U117" s="39"/>
      <c r="V117" s="39"/>
      <c r="W117" s="40"/>
      <c r="X117" s="40"/>
      <c r="Y117" s="40"/>
      <c r="Z117" s="40"/>
      <c r="AA117" s="40"/>
      <c r="AB117" s="40"/>
      <c r="AC117" s="40"/>
      <c r="AD117" s="40"/>
      <c r="AE117" s="40"/>
      <c r="AF117" s="40"/>
      <c r="AG117" s="40"/>
      <c r="AH117" s="40"/>
      <c r="AI117" s="40"/>
      <c r="AJ117" s="40"/>
      <c r="AK117" s="40"/>
      <c r="AL117" s="40"/>
      <c r="AM117" s="40"/>
      <c r="AN117" s="40"/>
      <c r="AO117" s="40"/>
      <c r="AP117" s="38"/>
      <c r="AQ117" s="38">
        <v>50</v>
      </c>
      <c r="AR117" s="25">
        <f t="shared" si="38"/>
        <v>0</v>
      </c>
      <c r="AS117" s="25">
        <f t="shared" si="39"/>
        <v>50</v>
      </c>
    </row>
    <row r="118" spans="1:45" s="38" customFormat="1">
      <c r="A118" s="36"/>
      <c r="B118" s="41"/>
      <c r="C118" s="37"/>
      <c r="D118" s="37"/>
      <c r="E118" s="37"/>
      <c r="F118" s="37"/>
      <c r="G118" s="37"/>
      <c r="I118" s="16"/>
      <c r="J118" s="16"/>
      <c r="K118" s="16" t="str">
        <f t="shared" ref="K118" si="58">IF(ISNUMBER(I118),"Debit",IF(ISNUMBER(J118),"Credit",""))</f>
        <v/>
      </c>
      <c r="L118" s="16"/>
      <c r="M118" s="16"/>
      <c r="N118" s="39"/>
      <c r="O118" s="39"/>
      <c r="P118" s="39"/>
      <c r="Q118" s="39"/>
      <c r="R118" s="39"/>
      <c r="S118" s="39"/>
      <c r="T118" s="39"/>
      <c r="U118" s="39"/>
      <c r="V118" s="39"/>
      <c r="W118" s="40"/>
      <c r="X118" s="40"/>
      <c r="Y118" s="40"/>
      <c r="Z118" s="40"/>
      <c r="AA118" s="40"/>
      <c r="AB118" s="40"/>
      <c r="AC118" s="40"/>
      <c r="AD118" s="40"/>
      <c r="AE118" s="40"/>
      <c r="AF118" s="40"/>
      <c r="AG118" s="40"/>
      <c r="AH118" s="40"/>
      <c r="AI118" s="40"/>
      <c r="AJ118" s="40"/>
      <c r="AK118" s="40"/>
      <c r="AL118" s="40"/>
      <c r="AM118" s="40"/>
      <c r="AN118" s="40"/>
      <c r="AO118" s="40"/>
      <c r="AP118" s="40"/>
      <c r="AQ118" s="40"/>
      <c r="AR118" s="25">
        <f t="shared" si="38"/>
        <v>0</v>
      </c>
      <c r="AS118" s="25">
        <f t="shared" si="39"/>
        <v>0</v>
      </c>
    </row>
    <row r="119" spans="1:45">
      <c r="A119" s="27"/>
      <c r="B119" s="29"/>
      <c r="C119" s="29"/>
      <c r="D119" s="29"/>
      <c r="E119" s="29"/>
      <c r="F119" s="29"/>
      <c r="G119" s="29"/>
      <c r="H119" s="29"/>
      <c r="I119" s="29"/>
      <c r="J119" s="29"/>
      <c r="K119" s="29"/>
      <c r="L119" s="29"/>
      <c r="M119" s="29"/>
      <c r="N119" s="30"/>
      <c r="O119" s="30"/>
      <c r="P119" s="30"/>
      <c r="Q119" s="30"/>
      <c r="R119" s="30"/>
      <c r="S119" s="30"/>
      <c r="T119" s="30"/>
      <c r="U119" s="30"/>
      <c r="V119" s="30"/>
      <c r="W119" s="31"/>
      <c r="X119" s="31"/>
      <c r="Y119" s="31"/>
      <c r="Z119" s="31"/>
      <c r="AA119" s="31"/>
      <c r="AB119" s="31"/>
      <c r="AC119" s="31"/>
      <c r="AD119" s="31"/>
      <c r="AE119" s="31"/>
      <c r="AF119" s="31"/>
      <c r="AG119" s="31"/>
      <c r="AH119" s="31"/>
      <c r="AI119" s="31"/>
      <c r="AJ119" s="31"/>
      <c r="AK119" s="31"/>
      <c r="AL119" s="31"/>
      <c r="AM119" s="31"/>
      <c r="AN119" s="31"/>
      <c r="AO119" s="31"/>
      <c r="AP119" s="29"/>
      <c r="AQ119" s="29"/>
      <c r="AR119" s="29"/>
      <c r="AS119" s="29"/>
    </row>
    <row r="120" spans="1:45" ht="15.75">
      <c r="H120" s="24" t="s">
        <v>5</v>
      </c>
      <c r="I120" s="15">
        <f t="shared" ref="I120:AQ120" si="59">SUM(I3:I119)</f>
        <v>32305.170000000002</v>
      </c>
      <c r="J120" s="15">
        <f t="shared" si="59"/>
        <v>36675.410000000003</v>
      </c>
      <c r="K120" s="15"/>
      <c r="L120" s="15"/>
      <c r="M120" s="15"/>
      <c r="N120" s="15">
        <f t="shared" si="59"/>
        <v>2641.9</v>
      </c>
      <c r="O120" s="15">
        <f>SUM(O3:O119)</f>
        <v>5782</v>
      </c>
      <c r="P120" s="15"/>
      <c r="Q120" s="15"/>
      <c r="R120" s="15">
        <f t="shared" si="59"/>
        <v>1185.75</v>
      </c>
      <c r="S120" s="15">
        <f t="shared" si="59"/>
        <v>0</v>
      </c>
      <c r="T120" s="15">
        <f t="shared" si="59"/>
        <v>24342.929999999997</v>
      </c>
      <c r="U120" s="15">
        <f t="shared" si="59"/>
        <v>24520</v>
      </c>
      <c r="V120" s="15">
        <f t="shared" si="59"/>
        <v>649.49</v>
      </c>
      <c r="W120" s="15">
        <f t="shared" si="59"/>
        <v>2750</v>
      </c>
      <c r="X120" s="15">
        <f t="shared" si="59"/>
        <v>1903</v>
      </c>
      <c r="Y120" s="15">
        <f t="shared" si="59"/>
        <v>1500</v>
      </c>
      <c r="Z120" s="15">
        <f t="shared" si="59"/>
        <v>0</v>
      </c>
      <c r="AA120" s="15">
        <f t="shared" si="59"/>
        <v>0</v>
      </c>
      <c r="AB120" s="15">
        <f t="shared" si="59"/>
        <v>0</v>
      </c>
      <c r="AC120" s="15">
        <f t="shared" si="59"/>
        <v>0</v>
      </c>
      <c r="AD120" s="15">
        <f t="shared" si="59"/>
        <v>0</v>
      </c>
      <c r="AE120" s="15">
        <f t="shared" si="59"/>
        <v>0</v>
      </c>
      <c r="AF120" s="15">
        <f t="shared" si="59"/>
        <v>0</v>
      </c>
      <c r="AG120" s="15">
        <f t="shared" si="59"/>
        <v>0</v>
      </c>
      <c r="AH120" s="15">
        <f t="shared" si="59"/>
        <v>0</v>
      </c>
      <c r="AI120" s="15">
        <f t="shared" si="59"/>
        <v>3.4099999999999997</v>
      </c>
      <c r="AJ120" s="89">
        <f>SUM(AJ3:AJ119)</f>
        <v>0</v>
      </c>
      <c r="AK120" s="89">
        <f>SUM(AK3:AK119)</f>
        <v>0</v>
      </c>
      <c r="AL120" s="90">
        <f>SUM(AL3:AL119)</f>
        <v>0</v>
      </c>
      <c r="AM120" s="90">
        <f>SUM(AM3:AM119)</f>
        <v>0</v>
      </c>
      <c r="AN120" s="15">
        <f t="shared" si="59"/>
        <v>898.2</v>
      </c>
      <c r="AO120" s="15">
        <f t="shared" si="59"/>
        <v>1500</v>
      </c>
      <c r="AP120" s="15">
        <f t="shared" si="59"/>
        <v>683.9</v>
      </c>
      <c r="AQ120" s="15">
        <f t="shared" si="59"/>
        <v>620</v>
      </c>
      <c r="AR120" s="32">
        <f>SUM(AR3:AR118)</f>
        <v>32305.170000000002</v>
      </c>
      <c r="AS120" s="32">
        <f>SUM(AS3:AS118)</f>
        <v>36675.410000000003</v>
      </c>
    </row>
    <row r="121" spans="1:45">
      <c r="N121" s="16"/>
      <c r="O121" s="16"/>
      <c r="P121" s="16"/>
      <c r="Q121" s="16"/>
      <c r="R121" s="16"/>
      <c r="S121" s="16"/>
      <c r="T121" s="16"/>
      <c r="U121" s="16"/>
      <c r="V121" s="16"/>
      <c r="W121" s="25"/>
      <c r="X121" s="25"/>
      <c r="Y121" s="25"/>
      <c r="Z121" s="25"/>
      <c r="AA121" s="25"/>
      <c r="AB121" s="25"/>
      <c r="AC121" s="25"/>
      <c r="AD121" s="25"/>
      <c r="AE121" s="25"/>
      <c r="AF121" s="25"/>
      <c r="AG121" s="25"/>
      <c r="AH121" s="25"/>
      <c r="AI121" s="25"/>
      <c r="AJ121" s="25"/>
      <c r="AK121" s="25"/>
      <c r="AL121" s="25"/>
      <c r="AM121" s="25"/>
      <c r="AN121" s="25"/>
      <c r="AO121" s="25"/>
      <c r="AP121" s="25"/>
      <c r="AQ121" s="25"/>
    </row>
    <row r="122" spans="1:45" ht="15.75">
      <c r="B122" s="24"/>
      <c r="C122" s="24"/>
      <c r="D122" s="24"/>
      <c r="E122" s="24"/>
      <c r="F122" s="24"/>
      <c r="G122" s="24"/>
      <c r="H122" s="24" t="s">
        <v>8</v>
      </c>
      <c r="I122" s="2"/>
      <c r="J122" s="2"/>
      <c r="K122" s="2"/>
      <c r="L122" s="2"/>
      <c r="M122" s="2"/>
      <c r="N122" s="16">
        <f>N120</f>
        <v>2641.9</v>
      </c>
      <c r="O122" s="16"/>
      <c r="P122" s="16"/>
      <c r="Q122" s="16"/>
      <c r="R122" s="16">
        <f>R120</f>
        <v>1185.75</v>
      </c>
      <c r="S122" s="16"/>
      <c r="T122" s="16">
        <f>T120</f>
        <v>24342.929999999997</v>
      </c>
      <c r="U122" s="16"/>
      <c r="V122" s="16">
        <f>V120</f>
        <v>649.49</v>
      </c>
      <c r="W122" s="16"/>
      <c r="X122" s="16">
        <f>X120</f>
        <v>1903</v>
      </c>
      <c r="Y122" s="16"/>
      <c r="Z122" s="16">
        <f>Z120</f>
        <v>0</v>
      </c>
      <c r="AA122" s="16"/>
      <c r="AB122" s="16">
        <f>AB120</f>
        <v>0</v>
      </c>
      <c r="AC122" s="16"/>
      <c r="AD122" s="16">
        <f>AD120</f>
        <v>0</v>
      </c>
      <c r="AE122" s="16"/>
      <c r="AF122" s="16">
        <f>AF120</f>
        <v>0</v>
      </c>
      <c r="AG122" s="16"/>
      <c r="AH122" s="16">
        <f>AH120</f>
        <v>0</v>
      </c>
      <c r="AI122" s="16"/>
      <c r="AJ122" s="16">
        <f>AJ120</f>
        <v>0</v>
      </c>
      <c r="AK122" s="16"/>
      <c r="AL122" s="16">
        <f>AL120</f>
        <v>0</v>
      </c>
      <c r="AM122" s="16"/>
      <c r="AN122" s="16">
        <f>AN120</f>
        <v>898.2</v>
      </c>
      <c r="AO122" s="16"/>
      <c r="AP122" s="16">
        <f>AP120</f>
        <v>683.9</v>
      </c>
      <c r="AQ122" s="16"/>
      <c r="AR122" s="25">
        <f>SUM(N122:AP122)</f>
        <v>32305.170000000002</v>
      </c>
    </row>
    <row r="123" spans="1:45" ht="15.75">
      <c r="B123" s="24"/>
      <c r="C123" s="24"/>
      <c r="D123" s="24"/>
      <c r="E123" s="24"/>
      <c r="F123" s="24"/>
      <c r="G123" s="24"/>
      <c r="H123" s="24"/>
      <c r="I123" s="2"/>
      <c r="J123" s="2"/>
      <c r="K123" s="2"/>
      <c r="L123" s="2"/>
      <c r="M123" s="2"/>
      <c r="N123" s="16"/>
      <c r="O123" s="16"/>
      <c r="P123" s="16"/>
      <c r="Q123" s="16"/>
      <c r="R123" s="16"/>
      <c r="S123" s="16"/>
      <c r="T123" s="16"/>
      <c r="U123" s="16"/>
      <c r="V123" s="16"/>
      <c r="W123" s="25"/>
      <c r="X123" s="25"/>
      <c r="Y123" s="25"/>
      <c r="Z123" s="25"/>
      <c r="AA123" s="25"/>
      <c r="AB123" s="25"/>
      <c r="AC123" s="25"/>
      <c r="AD123" s="25"/>
      <c r="AE123" s="25"/>
      <c r="AF123" s="25"/>
      <c r="AG123" s="25"/>
      <c r="AH123" s="25"/>
      <c r="AI123" s="25"/>
      <c r="AJ123" s="25"/>
      <c r="AK123" s="25"/>
      <c r="AL123" s="25"/>
      <c r="AM123" s="25"/>
      <c r="AN123" s="25"/>
      <c r="AO123" s="25"/>
      <c r="AP123" s="25"/>
      <c r="AQ123" s="25"/>
      <c r="AR123" s="25" t="str">
        <f>IF(AR120-AR122=SUM(P3:P119),"Contra entry = "&amp;TEXT(SUM(P3:P119),0),"Error")</f>
        <v>Contra entry = 0</v>
      </c>
    </row>
    <row r="124" spans="1:45" ht="15.75">
      <c r="B124" s="24"/>
      <c r="C124" s="24"/>
      <c r="D124" s="24"/>
      <c r="E124" s="24"/>
      <c r="F124" s="24"/>
      <c r="G124" s="24"/>
      <c r="H124" s="24" t="s">
        <v>9</v>
      </c>
      <c r="I124" s="2"/>
      <c r="J124" s="2"/>
      <c r="K124" s="2"/>
      <c r="L124" s="2"/>
      <c r="M124" s="2"/>
      <c r="N124" s="16"/>
      <c r="O124" s="16">
        <f>O120</f>
        <v>5782</v>
      </c>
      <c r="P124" s="16"/>
      <c r="Q124" s="16"/>
      <c r="R124" s="16"/>
      <c r="S124" s="16">
        <f>S120</f>
        <v>0</v>
      </c>
      <c r="T124" s="16"/>
      <c r="U124" s="16">
        <f>U120</f>
        <v>24520</v>
      </c>
      <c r="V124" s="16"/>
      <c r="W124" s="16">
        <f>W120</f>
        <v>2750</v>
      </c>
      <c r="X124" s="16"/>
      <c r="Y124" s="16">
        <f>Y120</f>
        <v>1500</v>
      </c>
      <c r="Z124" s="16"/>
      <c r="AA124" s="16">
        <f>AA120</f>
        <v>0</v>
      </c>
      <c r="AB124" s="16"/>
      <c r="AC124" s="16">
        <f>AC120</f>
        <v>0</v>
      </c>
      <c r="AD124" s="16"/>
      <c r="AE124" s="16">
        <f>AE120</f>
        <v>0</v>
      </c>
      <c r="AF124" s="16"/>
      <c r="AG124" s="16">
        <f>AG120</f>
        <v>0</v>
      </c>
      <c r="AH124" s="16"/>
      <c r="AI124" s="16">
        <f>AI120</f>
        <v>3.4099999999999997</v>
      </c>
      <c r="AJ124" s="16"/>
      <c r="AK124" s="16">
        <f>AK120</f>
        <v>0</v>
      </c>
      <c r="AL124" s="16"/>
      <c r="AM124" s="16">
        <f>AM120</f>
        <v>0</v>
      </c>
      <c r="AN124" s="16"/>
      <c r="AO124" s="16">
        <f>AO120</f>
        <v>1500</v>
      </c>
      <c r="AP124" s="16"/>
      <c r="AQ124" s="16">
        <f>AQ120</f>
        <v>620</v>
      </c>
      <c r="AS124" s="25">
        <f>SUM(N124:AQ124)</f>
        <v>36675.410000000003</v>
      </c>
    </row>
    <row r="125" spans="1:45">
      <c r="AS125" s="25" t="str">
        <f>IF(AS120-AS124=SUM(Q3:Q119),"Contra entry = "&amp;TEXT(SUM(Q3:Q119),0),"Error")</f>
        <v>Contra entry = 0</v>
      </c>
    </row>
    <row r="126" spans="1:45">
      <c r="P126" s="25">
        <f>SUM(P4:P113)</f>
        <v>0</v>
      </c>
      <c r="Q126" s="25">
        <f>SUM(Q4:Q113)</f>
        <v>0</v>
      </c>
    </row>
    <row r="127" spans="1:45">
      <c r="A127" s="1" t="s">
        <v>51</v>
      </c>
      <c r="B127" s="1">
        <f>COUNTIF(Transaction_Number,"&gt;10000")</f>
        <v>4</v>
      </c>
      <c r="P127" s="25"/>
      <c r="AR127" s="25"/>
    </row>
    <row r="128" spans="1:45">
      <c r="A128" s="1" t="s">
        <v>231</v>
      </c>
      <c r="B128" s="1">
        <f>COUNTIF(Transaction_Number,A128)</f>
        <v>40</v>
      </c>
      <c r="AR128" s="25">
        <f>Re_debit_total-AR122</f>
        <v>0</v>
      </c>
      <c r="AS128" s="25"/>
    </row>
    <row r="129" spans="1:2">
      <c r="A129" s="1" t="s">
        <v>182</v>
      </c>
      <c r="B129" s="1">
        <f>COUNTIF(Transaction_Number,"CHAPS")</f>
        <v>0</v>
      </c>
    </row>
    <row r="130" spans="1:2">
      <c r="A130" s="1" t="s">
        <v>31</v>
      </c>
      <c r="B130" s="1">
        <f>COUNTIF(Transaction_Number,"Cash")</f>
        <v>0</v>
      </c>
    </row>
    <row r="131" spans="1:2">
      <c r="A131" s="1" t="s">
        <v>271</v>
      </c>
      <c r="B131" s="1">
        <f>COUNTIF(Transaction_Number,A131)</f>
        <v>3</v>
      </c>
    </row>
    <row r="132" spans="1:2">
      <c r="A132" s="1" t="s">
        <v>183</v>
      </c>
      <c r="B132" s="1">
        <f>COUNTIF(Transaction_Number,"Online")</f>
        <v>65</v>
      </c>
    </row>
  </sheetData>
  <autoFilter ref="B1:B137"/>
  <mergeCells count="19">
    <mergeCell ref="AV1:AW1"/>
    <mergeCell ref="N1:O1"/>
    <mergeCell ref="R1:S1"/>
    <mergeCell ref="AD1:AE1"/>
    <mergeCell ref="Z1:AA1"/>
    <mergeCell ref="AB1:AC1"/>
    <mergeCell ref="AT1:AU1"/>
    <mergeCell ref="AH1:AI1"/>
    <mergeCell ref="AR1:AS1"/>
    <mergeCell ref="AP1:AQ1"/>
    <mergeCell ref="AF1:AG1"/>
    <mergeCell ref="AN1:AO1"/>
    <mergeCell ref="AJ1:AK1"/>
    <mergeCell ref="AL1:AM1"/>
    <mergeCell ref="I1:J1"/>
    <mergeCell ref="V1:W1"/>
    <mergeCell ref="X1:Y1"/>
    <mergeCell ref="P1:Q1"/>
    <mergeCell ref="T1:U1"/>
  </mergeCells>
  <phoneticPr fontId="0" type="noConversion"/>
  <conditionalFormatting sqref="J4:J117">
    <cfRule type="cellIs" dxfId="18" priority="3" stopIfTrue="1" operator="notEqual">
      <formula>$AS4</formula>
    </cfRule>
  </conditionalFormatting>
  <conditionalFormatting sqref="I4:I117">
    <cfRule type="cellIs" dxfId="17" priority="4" stopIfTrue="1" operator="notEqual">
      <formula>$AR4</formula>
    </cfRule>
  </conditionalFormatting>
  <dataValidations count="4">
    <dataValidation type="list" allowBlank="1" showInputMessage="1" showErrorMessage="1" sqref="E118:G118">
      <formula1>#REF!</formula1>
    </dataValidation>
    <dataValidation type="list" allowBlank="1" showInputMessage="1" showErrorMessage="1" sqref="E4:E117">
      <formula1>lst_Event</formula1>
    </dataValidation>
    <dataValidation type="list" allowBlank="1" showInputMessage="1" showErrorMessage="1" sqref="G4:G117">
      <formula1>lst_Category</formula1>
    </dataValidation>
    <dataValidation type="list" allowBlank="1" showInputMessage="1" showErrorMessage="1" sqref="L4:L117">
      <formula1>Summary_headings</formula1>
    </dataValidation>
  </dataValidations>
  <printOptions verticalCentered="1"/>
  <pageMargins left="0.59055118110236227" right="0.59055118110236227" top="0.78740157480314965" bottom="0.78740157480314965" header="0.39370078740157483" footer="0.39370078740157483"/>
  <pageSetup paperSize="9" fitToHeight="0" orientation="landscape" horizontalDpi="300" verticalDpi="300" r:id="rId1"/>
  <headerFooter alignWithMargins="0">
    <oddHeader>&amp;F</oddHeader>
    <oddFooter>&amp;L&amp;"Times New Roman,Bold"&amp;8&amp;A, &amp;F&amp;C&amp;"Times New Roman,Bold"&amp;8&amp;P of &amp;N&amp;R&amp;"Times New Roman,Bold"&amp;8Printed 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>
    <pageSetUpPr fitToPage="1"/>
  </sheetPr>
  <dimension ref="A1:Q518"/>
  <sheetViews>
    <sheetView topLeftCell="A70" zoomScaleNormal="100" workbookViewId="0">
      <selection activeCell="E101" sqref="E101"/>
    </sheetView>
  </sheetViews>
  <sheetFormatPr defaultRowHeight="12.75"/>
  <cols>
    <col min="1" max="1" width="10" style="1" bestFit="1" customWidth="1"/>
    <col min="2" max="2" width="9.140625" style="19"/>
    <col min="3" max="3" width="7.85546875" style="18" customWidth="1"/>
    <col min="4" max="4" width="36" style="1" bestFit="1" customWidth="1"/>
    <col min="5" max="6" width="10.7109375" style="16" customWidth="1"/>
    <col min="7" max="7" width="12.28515625" style="16" bestFit="1" customWidth="1"/>
    <col min="8" max="8" width="4.7109375" style="1" customWidth="1"/>
    <col min="9" max="9" width="11.85546875" style="1" customWidth="1"/>
    <col min="10" max="11" width="9.140625" style="1"/>
    <col min="12" max="12" width="9.7109375" style="1" customWidth="1"/>
    <col min="13" max="16" width="9.140625" style="1"/>
    <col min="18" max="16384" width="9.140625" style="1"/>
  </cols>
  <sheetData>
    <row r="1" spans="1:13" s="8" customFormat="1" ht="15.75">
      <c r="A1" s="8" t="s">
        <v>11</v>
      </c>
      <c r="B1" s="9" t="s">
        <v>0</v>
      </c>
      <c r="C1" s="10"/>
      <c r="D1" s="11" t="s">
        <v>1</v>
      </c>
      <c r="E1" s="12" t="s">
        <v>2</v>
      </c>
      <c r="F1" s="12" t="s">
        <v>3</v>
      </c>
      <c r="G1" s="12" t="s">
        <v>6</v>
      </c>
    </row>
    <row r="2" spans="1:13">
      <c r="B2" s="13"/>
      <c r="C2" s="14"/>
      <c r="E2" s="15"/>
      <c r="F2" s="15"/>
    </row>
    <row r="3" spans="1:13">
      <c r="B3" s="13"/>
      <c r="C3" s="14"/>
      <c r="D3" s="2" t="str">
        <f>"Statement balance at 1st April " &amp; Year_value</f>
        <v>Statement balance at 1st April 2012</v>
      </c>
      <c r="E3" s="15"/>
      <c r="F3" s="15"/>
      <c r="G3" s="96">
        <f>HSBC_statement_balance_ye</f>
        <v>32892.410000000003</v>
      </c>
    </row>
    <row r="4" spans="1:13">
      <c r="B4" s="13"/>
      <c r="C4" s="14"/>
      <c r="E4" s="15"/>
      <c r="F4" s="15"/>
      <c r="G4" s="39"/>
    </row>
    <row r="5" spans="1:13">
      <c r="A5" s="7"/>
      <c r="B5" s="13"/>
      <c r="C5" s="14" t="s">
        <v>29</v>
      </c>
      <c r="E5" s="15"/>
      <c r="F5" s="15"/>
    </row>
    <row r="6" spans="1:13">
      <c r="A6" s="7"/>
      <c r="B6" s="13"/>
      <c r="C6" s="14"/>
      <c r="E6" s="15"/>
      <c r="F6" s="15"/>
    </row>
    <row r="7" spans="1:13">
      <c r="A7" s="47"/>
      <c r="B7" s="17">
        <v>40380</v>
      </c>
      <c r="C7" s="41">
        <v>100081</v>
      </c>
      <c r="D7" s="1" t="s">
        <v>110</v>
      </c>
      <c r="E7" s="16">
        <v>307.68</v>
      </c>
      <c r="G7" s="16">
        <f>G3-E7+F7</f>
        <v>32584.730000000003</v>
      </c>
      <c r="I7" s="1" t="s">
        <v>370</v>
      </c>
    </row>
    <row r="8" spans="1:13">
      <c r="A8" s="47"/>
      <c r="B8" s="17"/>
      <c r="C8" s="41"/>
      <c r="J8" s="25"/>
      <c r="L8" s="25"/>
      <c r="M8" s="25"/>
    </row>
    <row r="9" spans="1:13">
      <c r="A9" s="47"/>
      <c r="B9" s="13"/>
      <c r="C9" s="14"/>
      <c r="D9" s="2" t="str">
        <f>"Opening Balance 1st April " &amp; Year_value</f>
        <v>Opening Balance 1st April 2012</v>
      </c>
      <c r="E9" s="15"/>
      <c r="F9" s="15"/>
      <c r="G9" s="96">
        <f>G7</f>
        <v>32584.730000000003</v>
      </c>
    </row>
    <row r="10" spans="1:13">
      <c r="A10" s="47"/>
      <c r="B10" s="13"/>
      <c r="C10" s="14"/>
      <c r="D10" s="2"/>
      <c r="E10" s="15"/>
      <c r="F10" s="15"/>
    </row>
    <row r="11" spans="1:13">
      <c r="A11" s="47" t="s">
        <v>172</v>
      </c>
      <c r="B11" s="17">
        <v>41002</v>
      </c>
      <c r="C11" s="41" t="s">
        <v>231</v>
      </c>
      <c r="D11" s="38" t="s">
        <v>239</v>
      </c>
      <c r="F11" s="16">
        <v>50</v>
      </c>
      <c r="G11" s="16">
        <f>G9-E11+F11</f>
        <v>32634.730000000003</v>
      </c>
      <c r="J11" s="1" t="str">
        <f t="shared" ref="J11:J21" si="0">IF(VLOOKUP(C11,Transaction_Number,1,FALSE)=C11,"Entered","Error")</f>
        <v>Entered</v>
      </c>
      <c r="M11" s="16"/>
    </row>
    <row r="12" spans="1:13">
      <c r="A12" s="47" t="s">
        <v>172</v>
      </c>
      <c r="B12" s="17">
        <v>41005</v>
      </c>
      <c r="C12" s="41" t="s">
        <v>231</v>
      </c>
      <c r="D12" s="38" t="s">
        <v>237</v>
      </c>
      <c r="F12" s="16">
        <v>50</v>
      </c>
      <c r="G12" s="16">
        <f t="shared" ref="G12:G26" si="1">G11-E12+F12</f>
        <v>32684.730000000003</v>
      </c>
      <c r="J12" s="1" t="str">
        <f t="shared" si="0"/>
        <v>Entered</v>
      </c>
      <c r="M12" s="16"/>
    </row>
    <row r="13" spans="1:13">
      <c r="A13" s="47" t="s">
        <v>172</v>
      </c>
      <c r="B13" s="17">
        <v>41068</v>
      </c>
      <c r="C13" s="41" t="s">
        <v>231</v>
      </c>
      <c r="D13" s="38" t="s">
        <v>236</v>
      </c>
      <c r="F13" s="16">
        <v>50</v>
      </c>
      <c r="G13" s="16">
        <f t="shared" si="1"/>
        <v>32734.730000000003</v>
      </c>
      <c r="J13" s="1" t="str">
        <f t="shared" si="0"/>
        <v>Entered</v>
      </c>
      <c r="M13" s="16"/>
    </row>
    <row r="14" spans="1:13">
      <c r="A14" s="47" t="s">
        <v>172</v>
      </c>
      <c r="B14" s="17">
        <v>41011</v>
      </c>
      <c r="C14" s="41" t="s">
        <v>231</v>
      </c>
      <c r="D14" s="38" t="s">
        <v>240</v>
      </c>
      <c r="F14" s="16">
        <v>50</v>
      </c>
      <c r="G14" s="16">
        <f t="shared" si="1"/>
        <v>32784.730000000003</v>
      </c>
      <c r="J14" s="1" t="str">
        <f t="shared" si="0"/>
        <v>Entered</v>
      </c>
      <c r="M14" s="16"/>
    </row>
    <row r="15" spans="1:13">
      <c r="A15" s="47" t="s">
        <v>172</v>
      </c>
      <c r="B15" s="17">
        <v>41012</v>
      </c>
      <c r="C15" s="41" t="s">
        <v>183</v>
      </c>
      <c r="D15" s="38" t="s">
        <v>176</v>
      </c>
      <c r="E15" s="16">
        <v>640</v>
      </c>
      <c r="G15" s="16">
        <f t="shared" si="1"/>
        <v>32144.730000000003</v>
      </c>
      <c r="J15" s="1" t="str">
        <f t="shared" si="0"/>
        <v>Entered</v>
      </c>
      <c r="M15" s="16"/>
    </row>
    <row r="16" spans="1:13">
      <c r="A16" s="47" t="s">
        <v>172</v>
      </c>
      <c r="B16" s="17">
        <v>41012</v>
      </c>
      <c r="C16" s="41" t="s">
        <v>183</v>
      </c>
      <c r="D16" s="38" t="s">
        <v>195</v>
      </c>
      <c r="E16" s="16">
        <v>40</v>
      </c>
      <c r="G16" s="16">
        <f t="shared" si="1"/>
        <v>32104.730000000003</v>
      </c>
      <c r="J16" s="1" t="str">
        <f t="shared" ref="J16" si="2">IF(VLOOKUP(C16,Transaction_Number,1,FALSE)=C16,"Entered","Error")</f>
        <v>Entered</v>
      </c>
    </row>
    <row r="17" spans="1:10">
      <c r="A17" s="47" t="s">
        <v>172</v>
      </c>
      <c r="B17" s="17">
        <v>41012</v>
      </c>
      <c r="C17" s="41" t="s">
        <v>183</v>
      </c>
      <c r="D17" s="38" t="s">
        <v>199</v>
      </c>
      <c r="E17" s="16">
        <v>500</v>
      </c>
      <c r="G17" s="16">
        <f t="shared" si="1"/>
        <v>31604.730000000003</v>
      </c>
      <c r="J17" s="1" t="str">
        <f t="shared" si="0"/>
        <v>Entered</v>
      </c>
    </row>
    <row r="18" spans="1:10">
      <c r="A18" s="47" t="s">
        <v>172</v>
      </c>
      <c r="B18" s="17">
        <v>41012</v>
      </c>
      <c r="C18" s="41" t="s">
        <v>183</v>
      </c>
      <c r="D18" s="38" t="s">
        <v>198</v>
      </c>
      <c r="E18" s="16">
        <v>551.04999999999995</v>
      </c>
      <c r="G18" s="16">
        <f t="shared" si="1"/>
        <v>31053.680000000004</v>
      </c>
      <c r="J18" s="1" t="str">
        <f t="shared" si="0"/>
        <v>Entered</v>
      </c>
    </row>
    <row r="19" spans="1:10">
      <c r="A19" s="47" t="s">
        <v>172</v>
      </c>
      <c r="B19" s="17">
        <v>41026</v>
      </c>
      <c r="C19" s="41" t="s">
        <v>231</v>
      </c>
      <c r="D19" s="38" t="s">
        <v>234</v>
      </c>
      <c r="F19" s="16">
        <v>100</v>
      </c>
      <c r="G19" s="16">
        <f t="shared" si="1"/>
        <v>31153.680000000004</v>
      </c>
      <c r="J19" s="1" t="str">
        <f t="shared" ref="J19" si="3">IF(VLOOKUP(C19,Transaction_Number,1,FALSE)=C19,"Entered","Error")</f>
        <v>Entered</v>
      </c>
    </row>
    <row r="20" spans="1:10">
      <c r="A20" s="47" t="s">
        <v>172</v>
      </c>
      <c r="B20" s="17">
        <v>41039</v>
      </c>
      <c r="C20" s="41" t="s">
        <v>231</v>
      </c>
      <c r="D20" s="38" t="s">
        <v>176</v>
      </c>
      <c r="F20" s="16">
        <v>2565</v>
      </c>
      <c r="G20" s="16">
        <f t="shared" si="1"/>
        <v>33718.680000000008</v>
      </c>
      <c r="J20" s="1" t="str">
        <f t="shared" ref="J20" si="4">IF(VLOOKUP(C20,Transaction_Number,1,FALSE)=C20,"Entered","Error")</f>
        <v>Entered</v>
      </c>
    </row>
    <row r="21" spans="1:10">
      <c r="A21" s="47" t="s">
        <v>172</v>
      </c>
      <c r="B21" s="17">
        <v>41067</v>
      </c>
      <c r="C21" s="41" t="s">
        <v>183</v>
      </c>
      <c r="D21" s="38" t="s">
        <v>201</v>
      </c>
      <c r="E21" s="16">
        <v>500</v>
      </c>
      <c r="G21" s="16">
        <f t="shared" si="1"/>
        <v>33218.680000000008</v>
      </c>
      <c r="J21" s="1" t="str">
        <f t="shared" si="0"/>
        <v>Entered</v>
      </c>
    </row>
    <row r="22" spans="1:10">
      <c r="A22" s="47" t="s">
        <v>172</v>
      </c>
      <c r="B22" s="17">
        <v>41067</v>
      </c>
      <c r="C22" s="41" t="s">
        <v>183</v>
      </c>
      <c r="D22" s="38" t="s">
        <v>203</v>
      </c>
      <c r="E22" s="16">
        <v>750</v>
      </c>
      <c r="G22" s="16">
        <f t="shared" si="1"/>
        <v>32468.680000000008</v>
      </c>
      <c r="J22" s="1" t="str">
        <f>IF(VLOOKUP(C22,Transaction_Number,1,FALSE)=C22,"Entered","Error")</f>
        <v>Entered</v>
      </c>
    </row>
    <row r="23" spans="1:10">
      <c r="A23" s="47" t="s">
        <v>172</v>
      </c>
      <c r="B23" s="17">
        <v>41067</v>
      </c>
      <c r="C23" s="41" t="s">
        <v>183</v>
      </c>
      <c r="D23" s="38" t="s">
        <v>176</v>
      </c>
      <c r="E23" s="16">
        <v>560</v>
      </c>
      <c r="G23" s="16">
        <f t="shared" si="1"/>
        <v>31908.680000000008</v>
      </c>
      <c r="J23" s="1" t="str">
        <f>IF(VLOOKUP(C23,Transaction_Number,1,FALSE)=C23,"Entered","Error")</f>
        <v>Entered</v>
      </c>
    </row>
    <row r="24" spans="1:10">
      <c r="A24" s="47" t="s">
        <v>172</v>
      </c>
      <c r="B24" s="17">
        <v>41067</v>
      </c>
      <c r="C24" s="41" t="s">
        <v>183</v>
      </c>
      <c r="D24" s="38" t="s">
        <v>206</v>
      </c>
      <c r="E24" s="16">
        <v>510</v>
      </c>
      <c r="G24" s="16">
        <f t="shared" si="1"/>
        <v>31398.680000000008</v>
      </c>
      <c r="J24" s="1" t="str">
        <f t="shared" ref="J24:J34" si="5">IF(VLOOKUP(C24,Transaction_Number,1,FALSE)=C24,"Entered","Error")</f>
        <v>Entered</v>
      </c>
    </row>
    <row r="25" spans="1:10">
      <c r="A25" s="47" t="s">
        <v>172</v>
      </c>
      <c r="B25" s="17">
        <v>41067</v>
      </c>
      <c r="C25" s="41" t="s">
        <v>183</v>
      </c>
      <c r="D25" s="38" t="s">
        <v>208</v>
      </c>
      <c r="E25" s="16">
        <v>250</v>
      </c>
      <c r="G25" s="16">
        <f t="shared" si="1"/>
        <v>31148.680000000008</v>
      </c>
      <c r="J25" s="1" t="str">
        <f t="shared" ref="J25" si="6">IF(VLOOKUP(C25,Transaction_Number,1,FALSE)=C25,"Entered","Error")</f>
        <v>Entered</v>
      </c>
    </row>
    <row r="26" spans="1:10">
      <c r="A26" s="47" t="s">
        <v>172</v>
      </c>
      <c r="B26" s="17">
        <v>41068</v>
      </c>
      <c r="C26" s="41">
        <v>100148</v>
      </c>
      <c r="D26" s="38" t="s">
        <v>211</v>
      </c>
      <c r="E26" s="16">
        <v>500</v>
      </c>
      <c r="G26" s="16">
        <f t="shared" si="1"/>
        <v>30648.680000000008</v>
      </c>
      <c r="J26" s="1" t="str">
        <f t="shared" ref="J26:J32" si="7">IF(VLOOKUP(C26,Transaction_Number,1,FALSE)=C26,"Entered","Error")</f>
        <v>Entered</v>
      </c>
    </row>
    <row r="27" spans="1:10">
      <c r="A27" s="47" t="s">
        <v>172</v>
      </c>
      <c r="B27" s="17">
        <v>41071</v>
      </c>
      <c r="C27" s="41" t="s">
        <v>231</v>
      </c>
      <c r="D27" s="38" t="s">
        <v>121</v>
      </c>
      <c r="F27" s="16">
        <v>2062.5</v>
      </c>
      <c r="G27" s="16">
        <f t="shared" ref="G27:G45" si="8">G26-E27+F27</f>
        <v>32711.180000000008</v>
      </c>
      <c r="J27" s="1" t="str">
        <f t="shared" ref="J27:J29" si="9">IF(VLOOKUP(C27,Transaction_Number,1,FALSE)=C27,"Entered","Error")</f>
        <v>Entered</v>
      </c>
    </row>
    <row r="28" spans="1:10">
      <c r="A28" s="47" t="s">
        <v>172</v>
      </c>
      <c r="B28" s="17">
        <v>41075</v>
      </c>
      <c r="C28" s="41" t="s">
        <v>231</v>
      </c>
      <c r="D28" s="38" t="s">
        <v>176</v>
      </c>
      <c r="F28" s="16">
        <v>275</v>
      </c>
      <c r="G28" s="16">
        <f t="shared" si="8"/>
        <v>32986.180000000008</v>
      </c>
      <c r="J28" s="1" t="str">
        <f t="shared" si="9"/>
        <v>Entered</v>
      </c>
    </row>
    <row r="29" spans="1:10">
      <c r="A29" s="47" t="s">
        <v>172</v>
      </c>
      <c r="B29" s="17">
        <v>41088</v>
      </c>
      <c r="C29" s="41" t="s">
        <v>231</v>
      </c>
      <c r="D29" s="38" t="s">
        <v>239</v>
      </c>
      <c r="F29" s="16">
        <v>183</v>
      </c>
      <c r="G29" s="16">
        <f t="shared" si="8"/>
        <v>33169.180000000008</v>
      </c>
      <c r="J29" s="1" t="str">
        <f t="shared" si="9"/>
        <v>Entered</v>
      </c>
    </row>
    <row r="30" spans="1:10">
      <c r="A30" s="47" t="s">
        <v>172</v>
      </c>
      <c r="B30" s="17">
        <v>41096</v>
      </c>
      <c r="C30" s="41" t="s">
        <v>183</v>
      </c>
      <c r="D30" s="38" t="s">
        <v>224</v>
      </c>
      <c r="E30" s="16">
        <v>32.5</v>
      </c>
      <c r="G30" s="16">
        <f t="shared" si="8"/>
        <v>33136.680000000008</v>
      </c>
      <c r="J30" s="1" t="str">
        <f t="shared" ref="J30" si="10">IF(VLOOKUP(C30,Transaction_Number,1,FALSE)=C30,"Entered","Error")</f>
        <v>Entered</v>
      </c>
    </row>
    <row r="31" spans="1:10">
      <c r="A31" s="47" t="s">
        <v>172</v>
      </c>
      <c r="B31" s="17">
        <v>41096</v>
      </c>
      <c r="C31" s="41" t="s">
        <v>183</v>
      </c>
      <c r="D31" s="38" t="s">
        <v>216</v>
      </c>
      <c r="E31" s="16">
        <v>500</v>
      </c>
      <c r="G31" s="16">
        <f t="shared" si="8"/>
        <v>32636.680000000008</v>
      </c>
      <c r="J31" s="1" t="str">
        <f t="shared" si="7"/>
        <v>Entered</v>
      </c>
    </row>
    <row r="32" spans="1:10">
      <c r="A32" s="47" t="s">
        <v>172</v>
      </c>
      <c r="B32" s="17">
        <v>41096</v>
      </c>
      <c r="C32" s="41" t="s">
        <v>183</v>
      </c>
      <c r="D32" s="38" t="s">
        <v>191</v>
      </c>
      <c r="E32" s="16">
        <v>250</v>
      </c>
      <c r="G32" s="16">
        <f t="shared" si="8"/>
        <v>32386.680000000008</v>
      </c>
      <c r="J32" s="1" t="str">
        <f t="shared" si="7"/>
        <v>Entered</v>
      </c>
    </row>
    <row r="33" spans="1:10">
      <c r="A33" s="47" t="s">
        <v>172</v>
      </c>
      <c r="B33" s="17">
        <v>41096</v>
      </c>
      <c r="C33" s="41" t="s">
        <v>183</v>
      </c>
      <c r="D33" s="38" t="s">
        <v>181</v>
      </c>
      <c r="E33" s="16">
        <v>275</v>
      </c>
      <c r="G33" s="16">
        <f t="shared" si="8"/>
        <v>32111.680000000008</v>
      </c>
      <c r="J33" s="1" t="str">
        <f t="shared" ref="J33" si="11">IF(VLOOKUP(C33,Transaction_Number,1,FALSE)=C33,"Entered","Error")</f>
        <v>Entered</v>
      </c>
    </row>
    <row r="34" spans="1:10">
      <c r="A34" s="47" t="s">
        <v>172</v>
      </c>
      <c r="B34" s="17">
        <v>41097</v>
      </c>
      <c r="C34" s="41" t="s">
        <v>183</v>
      </c>
      <c r="D34" s="38" t="s">
        <v>217</v>
      </c>
      <c r="E34" s="16">
        <v>759.75</v>
      </c>
      <c r="G34" s="16">
        <f t="shared" si="8"/>
        <v>31351.930000000008</v>
      </c>
      <c r="J34" s="1" t="str">
        <f t="shared" si="5"/>
        <v>Entered</v>
      </c>
    </row>
    <row r="35" spans="1:10">
      <c r="A35" s="47" t="s">
        <v>172</v>
      </c>
      <c r="B35" s="17">
        <v>41114</v>
      </c>
      <c r="C35" s="41" t="s">
        <v>231</v>
      </c>
      <c r="D35" s="38" t="s">
        <v>176</v>
      </c>
      <c r="F35" s="16">
        <v>2750</v>
      </c>
      <c r="G35" s="16">
        <f t="shared" si="8"/>
        <v>34101.930000000008</v>
      </c>
      <c r="J35" s="1" t="str">
        <f t="shared" ref="J35:J37" si="12">IF(VLOOKUP(C35,Transaction_Number,1,FALSE)=C35,"Entered","Error")</f>
        <v>Entered</v>
      </c>
    </row>
    <row r="36" spans="1:10">
      <c r="A36" s="47" t="s">
        <v>172</v>
      </c>
      <c r="B36" s="17">
        <v>41114</v>
      </c>
      <c r="C36" s="41" t="s">
        <v>231</v>
      </c>
      <c r="D36" s="38" t="s">
        <v>232</v>
      </c>
      <c r="F36" s="16">
        <v>15</v>
      </c>
      <c r="G36" s="16">
        <f t="shared" si="8"/>
        <v>34116.930000000008</v>
      </c>
      <c r="J36" s="1" t="str">
        <f t="shared" si="12"/>
        <v>Entered</v>
      </c>
    </row>
    <row r="37" spans="1:10">
      <c r="A37" s="47" t="s">
        <v>172</v>
      </c>
      <c r="B37" s="17">
        <v>41114</v>
      </c>
      <c r="C37" s="41" t="s">
        <v>231</v>
      </c>
      <c r="D37" s="38" t="s">
        <v>232</v>
      </c>
      <c r="F37" s="16">
        <v>75</v>
      </c>
      <c r="G37" s="16">
        <f t="shared" si="8"/>
        <v>34191.930000000008</v>
      </c>
      <c r="J37" s="1" t="str">
        <f t="shared" si="12"/>
        <v>Entered</v>
      </c>
    </row>
    <row r="38" spans="1:10">
      <c r="A38" s="47" t="s">
        <v>172</v>
      </c>
      <c r="B38" s="17">
        <v>41127</v>
      </c>
      <c r="C38" s="41" t="s">
        <v>183</v>
      </c>
      <c r="D38" s="38" t="s">
        <v>221</v>
      </c>
      <c r="E38" s="16">
        <v>49.2</v>
      </c>
      <c r="G38" s="16">
        <f t="shared" si="8"/>
        <v>34142.73000000001</v>
      </c>
      <c r="J38" s="1" t="str">
        <f t="shared" ref="J38:J39" si="13">IF(VLOOKUP(C38,Transaction_Number,1,FALSE)=C38,"Entered","Error")</f>
        <v>Entered</v>
      </c>
    </row>
    <row r="39" spans="1:10">
      <c r="A39" s="47" t="s">
        <v>172</v>
      </c>
      <c r="B39" s="17">
        <v>41127</v>
      </c>
      <c r="C39" s="41" t="s">
        <v>183</v>
      </c>
      <c r="D39" s="38" t="s">
        <v>251</v>
      </c>
      <c r="E39" s="16">
        <v>500</v>
      </c>
      <c r="G39" s="16">
        <f t="shared" si="8"/>
        <v>33642.73000000001</v>
      </c>
      <c r="J39" s="1" t="str">
        <f t="shared" si="13"/>
        <v>Entered</v>
      </c>
    </row>
    <row r="40" spans="1:10">
      <c r="A40" s="47" t="s">
        <v>172</v>
      </c>
      <c r="B40" s="17">
        <v>41136</v>
      </c>
      <c r="C40" s="41" t="s">
        <v>183</v>
      </c>
      <c r="D40" s="1" t="s">
        <v>164</v>
      </c>
      <c r="E40" s="16">
        <v>250</v>
      </c>
      <c r="G40" s="16">
        <f t="shared" si="8"/>
        <v>33392.73000000001</v>
      </c>
      <c r="J40" s="1" t="str">
        <f t="shared" ref="J40:J41" si="14">IF(VLOOKUP(C40,Transaction_Number,1,FALSE)=C40,"Entered","Error")</f>
        <v>Entered</v>
      </c>
    </row>
    <row r="41" spans="1:10">
      <c r="A41" s="47" t="s">
        <v>172</v>
      </c>
      <c r="B41" s="17">
        <v>41136</v>
      </c>
      <c r="C41" s="41" t="s">
        <v>183</v>
      </c>
      <c r="D41" s="1" t="s">
        <v>226</v>
      </c>
      <c r="E41" s="16">
        <v>250</v>
      </c>
      <c r="G41" s="16">
        <f t="shared" si="8"/>
        <v>33142.73000000001</v>
      </c>
      <c r="J41" s="1" t="str">
        <f t="shared" si="14"/>
        <v>Entered</v>
      </c>
    </row>
    <row r="42" spans="1:10">
      <c r="A42" s="47" t="s">
        <v>172</v>
      </c>
      <c r="B42" s="17">
        <v>41136</v>
      </c>
      <c r="C42" s="41" t="s">
        <v>183</v>
      </c>
      <c r="D42" s="1" t="s">
        <v>188</v>
      </c>
      <c r="E42" s="16">
        <v>52.55</v>
      </c>
      <c r="G42" s="16">
        <f t="shared" si="8"/>
        <v>33090.180000000008</v>
      </c>
      <c r="J42" s="1" t="str">
        <f t="shared" ref="J42:J43" si="15">IF(VLOOKUP(C42,Transaction_Number,1,FALSE)=C42,"Entered","Error")</f>
        <v>Entered</v>
      </c>
    </row>
    <row r="43" spans="1:10">
      <c r="A43" s="47" t="s">
        <v>172</v>
      </c>
      <c r="B43" s="17">
        <v>41141</v>
      </c>
      <c r="C43" s="41" t="s">
        <v>183</v>
      </c>
      <c r="D43" s="1" t="s">
        <v>188</v>
      </c>
      <c r="E43" s="16">
        <v>250</v>
      </c>
      <c r="G43" s="16">
        <f t="shared" si="8"/>
        <v>32840.180000000008</v>
      </c>
      <c r="J43" s="1" t="str">
        <f t="shared" si="15"/>
        <v>Entered</v>
      </c>
    </row>
    <row r="44" spans="1:10">
      <c r="A44" s="47" t="s">
        <v>172</v>
      </c>
      <c r="B44" s="17">
        <v>41141</v>
      </c>
      <c r="C44" s="41" t="s">
        <v>187</v>
      </c>
      <c r="D44" s="1" t="s">
        <v>229</v>
      </c>
      <c r="E44" s="16">
        <v>25000</v>
      </c>
      <c r="G44" s="16">
        <f t="shared" si="8"/>
        <v>7840.1800000000076</v>
      </c>
      <c r="J44" s="1" t="e">
        <f t="shared" ref="J44" si="16">IF(VLOOKUP(C44,Transaction_Number,1,FALSE)=C44,"Entered","Error")</f>
        <v>#N/A</v>
      </c>
    </row>
    <row r="45" spans="1:10">
      <c r="A45" s="47" t="s">
        <v>172</v>
      </c>
      <c r="B45" s="17">
        <v>41163</v>
      </c>
      <c r="C45" s="41">
        <v>100149</v>
      </c>
      <c r="D45" s="1" t="s">
        <v>171</v>
      </c>
      <c r="E45" s="16">
        <v>1000</v>
      </c>
      <c r="G45" s="16">
        <f t="shared" si="8"/>
        <v>6840.1800000000076</v>
      </c>
      <c r="J45" s="1" t="str">
        <f t="shared" ref="J45" si="17">IF(VLOOKUP(C45,Transaction_Number,1,FALSE)=C45,"Entered","Error")</f>
        <v>Entered</v>
      </c>
    </row>
    <row r="46" spans="1:10">
      <c r="A46" s="47" t="s">
        <v>172</v>
      </c>
      <c r="B46" s="17">
        <v>41163</v>
      </c>
      <c r="C46" s="41" t="s">
        <v>183</v>
      </c>
      <c r="D46" s="1" t="s">
        <v>249</v>
      </c>
      <c r="E46" s="16">
        <v>35</v>
      </c>
      <c r="G46" s="16">
        <f t="shared" ref="G46" si="18">G45-E46+F46</f>
        <v>6805.1800000000076</v>
      </c>
      <c r="J46" s="1" t="str">
        <f t="shared" ref="J46" si="19">IF(VLOOKUP(C46,Transaction_Number,1,FALSE)=C46,"Entered","Error")</f>
        <v>Entered</v>
      </c>
    </row>
    <row r="47" spans="1:10">
      <c r="A47" s="47" t="s">
        <v>172</v>
      </c>
      <c r="B47" s="17">
        <v>41164</v>
      </c>
      <c r="C47" s="41" t="s">
        <v>183</v>
      </c>
      <c r="D47" s="1" t="s">
        <v>250</v>
      </c>
      <c r="E47" s="16">
        <v>487.5</v>
      </c>
      <c r="G47" s="16">
        <f t="shared" ref="G47" si="20">G46-E47+F47</f>
        <v>6317.6800000000076</v>
      </c>
      <c r="J47" s="1" t="str">
        <f t="shared" ref="J47" si="21">IF(VLOOKUP(C47,Transaction_Number,1,FALSE)=C47,"Entered","Error")</f>
        <v>Entered</v>
      </c>
    </row>
    <row r="48" spans="1:10">
      <c r="A48" s="47" t="s">
        <v>172</v>
      </c>
      <c r="B48" s="17">
        <v>41169</v>
      </c>
      <c r="C48" s="41" t="s">
        <v>231</v>
      </c>
      <c r="D48" s="1" t="s">
        <v>270</v>
      </c>
      <c r="F48" s="16">
        <v>999</v>
      </c>
      <c r="G48" s="16">
        <f t="shared" ref="G48:G49" si="22">G47-E48+F48</f>
        <v>7316.6800000000076</v>
      </c>
      <c r="J48" s="1" t="str">
        <f t="shared" ref="J48:J49" si="23">IF(VLOOKUP(C48,Transaction_Number,1,FALSE)=C48,"Entered","Error")</f>
        <v>Entered</v>
      </c>
    </row>
    <row r="49" spans="1:10">
      <c r="A49" s="47" t="s">
        <v>172</v>
      </c>
      <c r="B49" s="17">
        <v>41170</v>
      </c>
      <c r="C49" s="41" t="s">
        <v>231</v>
      </c>
      <c r="D49" s="1" t="s">
        <v>270</v>
      </c>
      <c r="F49" s="16">
        <v>46</v>
      </c>
      <c r="G49" s="16">
        <f t="shared" si="22"/>
        <v>7362.6800000000076</v>
      </c>
      <c r="J49" s="1" t="str">
        <f t="shared" si="23"/>
        <v>Entered</v>
      </c>
    </row>
    <row r="50" spans="1:10">
      <c r="A50" s="47" t="s">
        <v>172</v>
      </c>
      <c r="B50" s="17">
        <v>41186</v>
      </c>
      <c r="C50" s="41" t="s">
        <v>231</v>
      </c>
      <c r="D50" s="1" t="s">
        <v>121</v>
      </c>
      <c r="F50" s="16">
        <v>2475</v>
      </c>
      <c r="G50" s="16">
        <f t="shared" ref="G50:G51" si="24">G49-E50+F50</f>
        <v>9837.6800000000076</v>
      </c>
      <c r="J50" s="1" t="str">
        <f t="shared" ref="J50:J51" si="25">IF(VLOOKUP(C50,Transaction_Number,1,FALSE)=C50,"Entered","Error")</f>
        <v>Entered</v>
      </c>
    </row>
    <row r="51" spans="1:10">
      <c r="A51" s="47" t="s">
        <v>172</v>
      </c>
      <c r="B51" s="17">
        <v>41190</v>
      </c>
      <c r="C51" s="41" t="s">
        <v>231</v>
      </c>
      <c r="D51" s="1" t="s">
        <v>176</v>
      </c>
      <c r="F51" s="16">
        <v>2550.9499999999998</v>
      </c>
      <c r="G51" s="16">
        <f t="shared" si="24"/>
        <v>12388.630000000008</v>
      </c>
      <c r="J51" s="1" t="str">
        <f t="shared" si="25"/>
        <v>Entered</v>
      </c>
    </row>
    <row r="52" spans="1:10">
      <c r="A52" s="47" t="s">
        <v>172</v>
      </c>
      <c r="B52" s="17">
        <v>41194</v>
      </c>
      <c r="C52" s="41">
        <v>100150</v>
      </c>
      <c r="E52" s="16">
        <v>768</v>
      </c>
      <c r="G52" s="16">
        <f t="shared" ref="G52:G54" si="26">G51-E52+F52</f>
        <v>11620.630000000008</v>
      </c>
      <c r="J52" s="1" t="str">
        <f t="shared" ref="J52:J53" si="27">IF(VLOOKUP(C52,Transaction_Number,1,FALSE)=C52,"Entered","Error")</f>
        <v>Entered</v>
      </c>
    </row>
    <row r="53" spans="1:10">
      <c r="A53" s="47" t="s">
        <v>172</v>
      </c>
      <c r="B53" s="17">
        <v>41206</v>
      </c>
      <c r="C53" s="41" t="s">
        <v>231</v>
      </c>
      <c r="D53" s="1" t="s">
        <v>121</v>
      </c>
      <c r="F53" s="16">
        <v>4207.5</v>
      </c>
      <c r="G53" s="16">
        <f t="shared" si="26"/>
        <v>15828.130000000008</v>
      </c>
      <c r="J53" s="1" t="str">
        <f t="shared" si="27"/>
        <v>Entered</v>
      </c>
    </row>
    <row r="54" spans="1:10">
      <c r="A54" s="47" t="s">
        <v>172</v>
      </c>
      <c r="B54" s="17">
        <v>41210</v>
      </c>
      <c r="C54" s="41" t="s">
        <v>183</v>
      </c>
      <c r="D54" s="1" t="s">
        <v>258</v>
      </c>
      <c r="E54" s="16">
        <v>702</v>
      </c>
      <c r="G54" s="16">
        <f t="shared" si="26"/>
        <v>15126.130000000008</v>
      </c>
      <c r="J54" s="1" t="str">
        <f t="shared" ref="J54" si="28">IF(VLOOKUP(C54,Transaction_Number,1,FALSE)=C54,"Entered","Error")</f>
        <v>Entered</v>
      </c>
    </row>
    <row r="55" spans="1:10">
      <c r="A55" s="47" t="s">
        <v>172</v>
      </c>
      <c r="B55" s="17">
        <v>41211</v>
      </c>
      <c r="C55" s="41" t="s">
        <v>271</v>
      </c>
      <c r="D55" s="1" t="s">
        <v>272</v>
      </c>
      <c r="E55" s="16">
        <v>495</v>
      </c>
      <c r="G55" s="16">
        <f t="shared" ref="G55:G73" si="29">G54-E55+F55</f>
        <v>14631.130000000008</v>
      </c>
      <c r="J55" s="1" t="str">
        <f t="shared" ref="J55:J73" si="30">IF(VLOOKUP(C55,Transaction_Number,1,FALSE)=C55,"Entered","Error")</f>
        <v>Entered</v>
      </c>
    </row>
    <row r="56" spans="1:10">
      <c r="A56" s="47" t="s">
        <v>172</v>
      </c>
      <c r="B56" s="17">
        <v>41211</v>
      </c>
      <c r="C56" s="41" t="s">
        <v>271</v>
      </c>
      <c r="D56" s="1" t="s">
        <v>273</v>
      </c>
      <c r="F56" s="16">
        <v>495</v>
      </c>
      <c r="G56" s="16">
        <f t="shared" si="29"/>
        <v>15126.130000000008</v>
      </c>
      <c r="J56" s="1" t="str">
        <f t="shared" si="30"/>
        <v>Entered</v>
      </c>
    </row>
    <row r="57" spans="1:10">
      <c r="A57" s="47" t="s">
        <v>172</v>
      </c>
      <c r="B57" s="17">
        <v>41211</v>
      </c>
      <c r="C57" s="41" t="s">
        <v>271</v>
      </c>
      <c r="D57" s="1" t="s">
        <v>274</v>
      </c>
      <c r="E57" s="16">
        <v>4</v>
      </c>
      <c r="G57" s="16">
        <f t="shared" si="29"/>
        <v>15122.130000000008</v>
      </c>
      <c r="J57" s="1" t="str">
        <f t="shared" si="30"/>
        <v>Entered</v>
      </c>
    </row>
    <row r="58" spans="1:10">
      <c r="A58" s="47" t="s">
        <v>172</v>
      </c>
      <c r="B58" s="17">
        <v>41213</v>
      </c>
      <c r="C58" s="41" t="s">
        <v>183</v>
      </c>
      <c r="D58" s="1" t="s">
        <v>181</v>
      </c>
      <c r="E58" s="16">
        <v>734.99</v>
      </c>
      <c r="G58" s="16">
        <f t="shared" si="29"/>
        <v>14387.140000000009</v>
      </c>
      <c r="J58" s="1" t="str">
        <f t="shared" si="30"/>
        <v>Entered</v>
      </c>
    </row>
    <row r="59" spans="1:10">
      <c r="A59" s="47" t="s">
        <v>172</v>
      </c>
      <c r="B59" s="17">
        <v>41213</v>
      </c>
      <c r="C59" s="41" t="s">
        <v>183</v>
      </c>
      <c r="D59" s="1" t="s">
        <v>181</v>
      </c>
      <c r="E59" s="16">
        <v>218</v>
      </c>
      <c r="G59" s="16">
        <f t="shared" si="29"/>
        <v>14169.140000000009</v>
      </c>
      <c r="J59" s="1" t="str">
        <f t="shared" si="30"/>
        <v>Entered</v>
      </c>
    </row>
    <row r="60" spans="1:10">
      <c r="A60" s="47" t="s">
        <v>172</v>
      </c>
      <c r="B60" s="17">
        <v>41213</v>
      </c>
      <c r="C60" s="41" t="s">
        <v>183</v>
      </c>
      <c r="D60" s="1" t="s">
        <v>257</v>
      </c>
      <c r="E60" s="16">
        <v>1522.5</v>
      </c>
      <c r="G60" s="16">
        <f t="shared" si="29"/>
        <v>12646.640000000009</v>
      </c>
      <c r="J60" s="1" t="str">
        <f t="shared" si="30"/>
        <v>Entered</v>
      </c>
    </row>
    <row r="61" spans="1:10">
      <c r="A61" s="47" t="s">
        <v>172</v>
      </c>
      <c r="B61" s="17">
        <v>41214</v>
      </c>
      <c r="C61" s="41" t="s">
        <v>183</v>
      </c>
      <c r="D61" s="1" t="s">
        <v>257</v>
      </c>
      <c r="E61" s="16">
        <v>578.75</v>
      </c>
      <c r="G61" s="16">
        <f t="shared" si="29"/>
        <v>12067.890000000009</v>
      </c>
      <c r="J61" s="1" t="str">
        <f t="shared" si="30"/>
        <v>Entered</v>
      </c>
    </row>
    <row r="62" spans="1:10">
      <c r="A62" s="47" t="s">
        <v>172</v>
      </c>
      <c r="B62" s="17">
        <v>41214</v>
      </c>
      <c r="C62" s="41" t="s">
        <v>183</v>
      </c>
      <c r="D62" s="1" t="s">
        <v>259</v>
      </c>
      <c r="E62" s="16">
        <v>750</v>
      </c>
      <c r="G62" s="16">
        <f t="shared" si="29"/>
        <v>11317.890000000009</v>
      </c>
      <c r="J62" s="1" t="str">
        <f t="shared" si="30"/>
        <v>Entered</v>
      </c>
    </row>
    <row r="63" spans="1:10">
      <c r="A63" s="47" t="s">
        <v>172</v>
      </c>
      <c r="B63" s="17">
        <v>41229</v>
      </c>
      <c r="C63" s="41" t="s">
        <v>231</v>
      </c>
      <c r="D63" s="1" t="s">
        <v>121</v>
      </c>
      <c r="F63" s="16">
        <v>6190</v>
      </c>
      <c r="G63" s="16">
        <f t="shared" si="29"/>
        <v>17507.890000000007</v>
      </c>
      <c r="J63" s="1" t="str">
        <f t="shared" si="30"/>
        <v>Entered</v>
      </c>
    </row>
    <row r="64" spans="1:10">
      <c r="A64" s="47" t="s">
        <v>172</v>
      </c>
      <c r="B64" s="17">
        <v>41239</v>
      </c>
      <c r="C64" s="41" t="s">
        <v>183</v>
      </c>
      <c r="D64" s="1" t="s">
        <v>312</v>
      </c>
      <c r="E64" s="16">
        <v>495</v>
      </c>
      <c r="G64" s="16">
        <f t="shared" si="29"/>
        <v>17012.890000000007</v>
      </c>
      <c r="J64" s="1" t="str">
        <f t="shared" si="30"/>
        <v>Entered</v>
      </c>
    </row>
    <row r="65" spans="1:10">
      <c r="A65" s="47" t="s">
        <v>172</v>
      </c>
      <c r="B65" s="17">
        <v>41244</v>
      </c>
      <c r="C65" s="41" t="s">
        <v>183</v>
      </c>
      <c r="D65" s="1" t="s">
        <v>262</v>
      </c>
      <c r="E65" s="16">
        <v>500</v>
      </c>
      <c r="G65" s="16">
        <f t="shared" si="29"/>
        <v>16512.890000000007</v>
      </c>
      <c r="J65" s="1" t="str">
        <f t="shared" si="30"/>
        <v>Entered</v>
      </c>
    </row>
    <row r="66" spans="1:10">
      <c r="A66" s="47" t="s">
        <v>172</v>
      </c>
      <c r="B66" s="17">
        <v>41244</v>
      </c>
      <c r="C66" s="41" t="s">
        <v>183</v>
      </c>
      <c r="D66" s="1" t="s">
        <v>264</v>
      </c>
      <c r="E66" s="16">
        <v>450</v>
      </c>
      <c r="G66" s="16">
        <f t="shared" si="29"/>
        <v>16062.890000000007</v>
      </c>
      <c r="J66" s="1" t="str">
        <f t="shared" si="30"/>
        <v>Entered</v>
      </c>
    </row>
    <row r="67" spans="1:10">
      <c r="A67" s="47" t="s">
        <v>172</v>
      </c>
      <c r="B67" s="17">
        <v>41244</v>
      </c>
      <c r="C67" s="41" t="s">
        <v>183</v>
      </c>
      <c r="D67" s="1" t="s">
        <v>265</v>
      </c>
      <c r="E67" s="16">
        <v>750</v>
      </c>
      <c r="G67" s="16">
        <f t="shared" si="29"/>
        <v>15312.890000000007</v>
      </c>
      <c r="J67" s="1" t="str">
        <f t="shared" si="30"/>
        <v>Entered</v>
      </c>
    </row>
    <row r="68" spans="1:10">
      <c r="A68" s="47" t="s">
        <v>172</v>
      </c>
      <c r="B68" s="17">
        <v>41244</v>
      </c>
      <c r="C68" s="41" t="s">
        <v>183</v>
      </c>
      <c r="D68" s="1" t="s">
        <v>267</v>
      </c>
      <c r="E68" s="16">
        <v>24</v>
      </c>
      <c r="G68" s="16">
        <f t="shared" si="29"/>
        <v>15288.890000000007</v>
      </c>
      <c r="J68" s="1" t="str">
        <f t="shared" si="30"/>
        <v>Entered</v>
      </c>
    </row>
    <row r="69" spans="1:10">
      <c r="A69" s="47" t="s">
        <v>172</v>
      </c>
      <c r="B69" s="17">
        <v>41244</v>
      </c>
      <c r="C69" s="41" t="s">
        <v>183</v>
      </c>
      <c r="D69" s="1" t="s">
        <v>262</v>
      </c>
      <c r="E69" s="16">
        <v>500</v>
      </c>
      <c r="G69" s="16">
        <f t="shared" si="29"/>
        <v>14788.890000000007</v>
      </c>
      <c r="J69" s="1" t="str">
        <f t="shared" si="30"/>
        <v>Entered</v>
      </c>
    </row>
    <row r="70" spans="1:10">
      <c r="A70" s="47" t="s">
        <v>172</v>
      </c>
      <c r="B70" s="17">
        <v>41244</v>
      </c>
      <c r="C70" s="41" t="s">
        <v>183</v>
      </c>
      <c r="D70" s="1" t="s">
        <v>262</v>
      </c>
      <c r="E70" s="16">
        <v>500</v>
      </c>
      <c r="G70" s="16">
        <f t="shared" si="29"/>
        <v>14288.890000000007</v>
      </c>
      <c r="J70" s="1" t="str">
        <f t="shared" si="30"/>
        <v>Entered</v>
      </c>
    </row>
    <row r="71" spans="1:10">
      <c r="A71" s="47" t="s">
        <v>172</v>
      </c>
      <c r="B71" s="17">
        <v>41246</v>
      </c>
      <c r="C71" s="41" t="s">
        <v>231</v>
      </c>
      <c r="D71" s="1" t="s">
        <v>265</v>
      </c>
      <c r="F71" s="16">
        <v>750</v>
      </c>
      <c r="G71" s="16">
        <f t="shared" si="29"/>
        <v>15038.890000000007</v>
      </c>
      <c r="J71" s="1" t="str">
        <f t="shared" si="30"/>
        <v>Entered</v>
      </c>
    </row>
    <row r="72" spans="1:10">
      <c r="A72" s="47" t="s">
        <v>172</v>
      </c>
      <c r="B72" s="17">
        <v>41248</v>
      </c>
      <c r="C72" s="41" t="s">
        <v>183</v>
      </c>
      <c r="D72" s="1" t="s">
        <v>258</v>
      </c>
      <c r="E72" s="16">
        <v>864</v>
      </c>
      <c r="G72" s="16">
        <f t="shared" si="29"/>
        <v>14174.890000000007</v>
      </c>
      <c r="J72" s="1" t="str">
        <f t="shared" si="30"/>
        <v>Entered</v>
      </c>
    </row>
    <row r="73" spans="1:10">
      <c r="A73" s="47" t="s">
        <v>172</v>
      </c>
      <c r="B73" s="17">
        <v>41248</v>
      </c>
      <c r="C73" s="41" t="s">
        <v>183</v>
      </c>
      <c r="D73" s="1" t="s">
        <v>176</v>
      </c>
      <c r="E73" s="16">
        <v>805</v>
      </c>
      <c r="G73" s="16">
        <f t="shared" si="29"/>
        <v>13369.890000000007</v>
      </c>
      <c r="J73" s="1" t="str">
        <f t="shared" si="30"/>
        <v>Entered</v>
      </c>
    </row>
    <row r="74" spans="1:10">
      <c r="A74" s="47" t="s">
        <v>172</v>
      </c>
      <c r="B74" s="17">
        <v>41249</v>
      </c>
      <c r="C74" s="41" t="s">
        <v>183</v>
      </c>
      <c r="D74" s="1" t="s">
        <v>309</v>
      </c>
      <c r="E74" s="16">
        <v>105.4</v>
      </c>
      <c r="G74" s="16">
        <f t="shared" ref="G74" si="31">G73-E74+F74</f>
        <v>13264.490000000007</v>
      </c>
      <c r="J74" s="1" t="str">
        <f t="shared" ref="J74" si="32">IF(VLOOKUP(C74,Transaction_Number,1,FALSE)=C74,"Entered","Error")</f>
        <v>Entered</v>
      </c>
    </row>
    <row r="75" spans="1:10">
      <c r="A75" s="47" t="s">
        <v>172</v>
      </c>
      <c r="B75" s="17">
        <v>41249</v>
      </c>
      <c r="C75" s="41" t="s">
        <v>183</v>
      </c>
      <c r="D75" s="1" t="s">
        <v>308</v>
      </c>
      <c r="E75" s="16">
        <v>247.5</v>
      </c>
      <c r="G75" s="16">
        <f t="shared" ref="G75:G76" si="33">G74-E75+F75</f>
        <v>13016.990000000007</v>
      </c>
      <c r="J75" s="1" t="str">
        <f t="shared" ref="J75:J76" si="34">IF(VLOOKUP(C75,Transaction_Number,1,FALSE)=C75,"Entered","Error")</f>
        <v>Entered</v>
      </c>
    </row>
    <row r="76" spans="1:10">
      <c r="A76" s="47" t="s">
        <v>172</v>
      </c>
      <c r="B76" s="17">
        <v>41249</v>
      </c>
      <c r="C76" s="41" t="s">
        <v>183</v>
      </c>
      <c r="D76" s="1" t="s">
        <v>217</v>
      </c>
      <c r="E76" s="16">
        <v>1000</v>
      </c>
      <c r="G76" s="16">
        <f t="shared" si="33"/>
        <v>12016.990000000007</v>
      </c>
      <c r="J76" s="1" t="str">
        <f t="shared" si="34"/>
        <v>Entered</v>
      </c>
    </row>
    <row r="77" spans="1:10">
      <c r="A77" s="47" t="s">
        <v>172</v>
      </c>
      <c r="B77" s="17">
        <v>41260</v>
      </c>
      <c r="C77" s="41" t="s">
        <v>231</v>
      </c>
      <c r="D77" s="1" t="s">
        <v>176</v>
      </c>
      <c r="F77" s="16">
        <v>1500</v>
      </c>
      <c r="G77" s="16">
        <f t="shared" ref="G77:G111" si="35">G76-E77+F77</f>
        <v>13516.990000000007</v>
      </c>
      <c r="J77" s="1" t="str">
        <f t="shared" ref="J77:J111" si="36">IF(VLOOKUP(C77,Transaction_Number,1,FALSE)=C77,"Entered","Error")</f>
        <v>Entered</v>
      </c>
    </row>
    <row r="78" spans="1:10">
      <c r="A78" s="47" t="s">
        <v>172</v>
      </c>
      <c r="B78" s="17">
        <v>41267</v>
      </c>
      <c r="C78" s="41" t="s">
        <v>231</v>
      </c>
      <c r="D78" s="1" t="s">
        <v>239</v>
      </c>
      <c r="F78" s="16">
        <v>500</v>
      </c>
      <c r="G78" s="16">
        <f t="shared" si="35"/>
        <v>14016.990000000007</v>
      </c>
      <c r="J78" s="1" t="str">
        <f t="shared" si="36"/>
        <v>Entered</v>
      </c>
    </row>
    <row r="79" spans="1:10">
      <c r="A79" s="47" t="s">
        <v>172</v>
      </c>
      <c r="B79" s="17">
        <v>41276</v>
      </c>
      <c r="C79" s="41" t="s">
        <v>183</v>
      </c>
      <c r="D79" s="1" t="s">
        <v>262</v>
      </c>
      <c r="E79" s="16">
        <v>500</v>
      </c>
      <c r="G79" s="16">
        <f t="shared" ref="G79:G81" si="37">G78-E79+F79</f>
        <v>13516.990000000007</v>
      </c>
      <c r="J79" s="1" t="str">
        <f t="shared" ref="J79:J81" si="38">IF(VLOOKUP(C79,Transaction_Number,1,FALSE)=C79,"Entered","Error")</f>
        <v>Entered</v>
      </c>
    </row>
    <row r="80" spans="1:10">
      <c r="A80" s="47" t="s">
        <v>172</v>
      </c>
      <c r="B80" s="17">
        <v>41277</v>
      </c>
      <c r="C80" s="41" t="s">
        <v>231</v>
      </c>
      <c r="D80" s="1" t="s">
        <v>121</v>
      </c>
      <c r="F80" s="16">
        <v>825</v>
      </c>
      <c r="G80" s="16">
        <f t="shared" si="37"/>
        <v>14341.990000000007</v>
      </c>
      <c r="J80" s="1" t="str">
        <f t="shared" si="38"/>
        <v>Entered</v>
      </c>
    </row>
    <row r="81" spans="1:10">
      <c r="A81" s="47" t="s">
        <v>172</v>
      </c>
      <c r="B81" s="17">
        <v>41291</v>
      </c>
      <c r="C81" s="41" t="s">
        <v>231</v>
      </c>
      <c r="D81" s="1" t="s">
        <v>237</v>
      </c>
      <c r="F81" s="16">
        <v>50</v>
      </c>
      <c r="G81" s="16">
        <f t="shared" si="37"/>
        <v>14391.990000000007</v>
      </c>
      <c r="J81" s="1" t="str">
        <f t="shared" si="38"/>
        <v>Entered</v>
      </c>
    </row>
    <row r="82" spans="1:10">
      <c r="A82" s="47" t="s">
        <v>172</v>
      </c>
      <c r="B82" s="17">
        <v>41294</v>
      </c>
      <c r="C82" s="41" t="s">
        <v>231</v>
      </c>
      <c r="D82" s="1" t="s">
        <v>314</v>
      </c>
      <c r="F82" s="16">
        <v>100</v>
      </c>
      <c r="G82" s="16">
        <f t="shared" ref="G82:G86" si="39">G81-E82+F82</f>
        <v>14491.990000000007</v>
      </c>
      <c r="J82" s="1" t="str">
        <f t="shared" ref="J82:J86" si="40">IF(VLOOKUP(C82,Transaction_Number,1,FALSE)=C82,"Entered","Error")</f>
        <v>Entered</v>
      </c>
    </row>
    <row r="83" spans="1:10">
      <c r="A83" s="47" t="s">
        <v>172</v>
      </c>
      <c r="B83" s="17">
        <v>41296</v>
      </c>
      <c r="C83" s="41" t="s">
        <v>231</v>
      </c>
      <c r="D83" s="1" t="s">
        <v>234</v>
      </c>
      <c r="F83" s="16">
        <v>120</v>
      </c>
      <c r="G83" s="16">
        <f t="shared" si="39"/>
        <v>14611.990000000007</v>
      </c>
      <c r="J83" s="1" t="str">
        <f t="shared" si="40"/>
        <v>Entered</v>
      </c>
    </row>
    <row r="84" spans="1:10">
      <c r="A84" s="47" t="s">
        <v>172</v>
      </c>
      <c r="B84" s="17">
        <v>41302</v>
      </c>
      <c r="C84" s="41" t="s">
        <v>231</v>
      </c>
      <c r="D84" s="1" t="s">
        <v>176</v>
      </c>
      <c r="F84" s="16">
        <v>374</v>
      </c>
      <c r="G84" s="16">
        <f t="shared" si="39"/>
        <v>14985.990000000007</v>
      </c>
      <c r="J84" s="1" t="str">
        <f t="shared" si="40"/>
        <v>Entered</v>
      </c>
    </row>
    <row r="85" spans="1:10">
      <c r="A85" s="47" t="s">
        <v>172</v>
      </c>
      <c r="B85" s="17">
        <v>41302</v>
      </c>
      <c r="C85" s="41" t="s">
        <v>231</v>
      </c>
      <c r="D85" s="1" t="s">
        <v>121</v>
      </c>
      <c r="F85" s="16">
        <v>1925</v>
      </c>
      <c r="G85" s="16">
        <f t="shared" si="39"/>
        <v>16910.990000000005</v>
      </c>
      <c r="J85" s="1" t="str">
        <f t="shared" si="40"/>
        <v>Entered</v>
      </c>
    </row>
    <row r="86" spans="1:10">
      <c r="A86" s="47" t="s">
        <v>172</v>
      </c>
      <c r="B86" s="17">
        <v>41305</v>
      </c>
      <c r="C86" s="41" t="s">
        <v>271</v>
      </c>
      <c r="D86" s="1" t="s">
        <v>272</v>
      </c>
      <c r="E86" s="16">
        <v>275</v>
      </c>
      <c r="G86" s="16">
        <f t="shared" si="39"/>
        <v>16635.990000000005</v>
      </c>
      <c r="J86" s="1" t="str">
        <f t="shared" si="40"/>
        <v>Entered</v>
      </c>
    </row>
    <row r="87" spans="1:10">
      <c r="A87" s="47" t="s">
        <v>172</v>
      </c>
      <c r="B87" s="17">
        <v>41305</v>
      </c>
      <c r="C87" s="41" t="s">
        <v>271</v>
      </c>
      <c r="D87" s="1" t="s">
        <v>274</v>
      </c>
      <c r="E87" s="16">
        <v>4</v>
      </c>
      <c r="G87" s="16">
        <f t="shared" ref="G87:G90" si="41">G86-E87+F87</f>
        <v>16631.990000000005</v>
      </c>
      <c r="J87" s="1" t="str">
        <f t="shared" ref="J87:J90" si="42">IF(VLOOKUP(C87,Transaction_Number,1,FALSE)=C87,"Entered","Error")</f>
        <v>Entered</v>
      </c>
    </row>
    <row r="88" spans="1:10">
      <c r="A88" s="47" t="s">
        <v>172</v>
      </c>
      <c r="B88" s="17">
        <v>41309</v>
      </c>
      <c r="C88" s="41" t="s">
        <v>183</v>
      </c>
      <c r="D88" s="1" t="s">
        <v>188</v>
      </c>
      <c r="E88" s="16">
        <v>250</v>
      </c>
      <c r="G88" s="16">
        <f t="shared" si="41"/>
        <v>16381.990000000005</v>
      </c>
      <c r="J88" s="1" t="str">
        <f t="shared" si="42"/>
        <v>Entered</v>
      </c>
    </row>
    <row r="89" spans="1:10">
      <c r="A89" s="47" t="s">
        <v>172</v>
      </c>
      <c r="B89" s="17">
        <v>41310</v>
      </c>
      <c r="C89" s="41" t="s">
        <v>183</v>
      </c>
      <c r="D89" s="1" t="s">
        <v>315</v>
      </c>
      <c r="E89" s="16">
        <v>2238</v>
      </c>
      <c r="G89" s="16">
        <f t="shared" si="41"/>
        <v>14143.990000000005</v>
      </c>
      <c r="J89" s="1" t="str">
        <f t="shared" si="42"/>
        <v>Entered</v>
      </c>
    </row>
    <row r="90" spans="1:10">
      <c r="A90" s="47" t="s">
        <v>172</v>
      </c>
      <c r="B90" s="17">
        <v>41310</v>
      </c>
      <c r="C90" s="41" t="s">
        <v>183</v>
      </c>
      <c r="D90" s="1" t="s">
        <v>316</v>
      </c>
      <c r="E90" s="16">
        <v>250</v>
      </c>
      <c r="G90" s="16">
        <f t="shared" si="41"/>
        <v>13893.990000000005</v>
      </c>
      <c r="J90" s="1" t="str">
        <f t="shared" si="42"/>
        <v>Entered</v>
      </c>
    </row>
    <row r="91" spans="1:10">
      <c r="A91" s="47" t="s">
        <v>172</v>
      </c>
      <c r="B91" s="17">
        <v>41311</v>
      </c>
      <c r="C91" s="41" t="s">
        <v>183</v>
      </c>
      <c r="D91" s="1" t="s">
        <v>317</v>
      </c>
      <c r="E91" s="16">
        <v>1000</v>
      </c>
      <c r="G91" s="16">
        <f t="shared" ref="G91:G110" si="43">G90-E91+F91</f>
        <v>12893.990000000005</v>
      </c>
      <c r="J91" s="1" t="str">
        <f t="shared" ref="J91:J110" si="44">IF(VLOOKUP(C91,Transaction_Number,1,FALSE)=C91,"Entered","Error")</f>
        <v>Entered</v>
      </c>
    </row>
    <row r="92" spans="1:10">
      <c r="A92" s="47" t="s">
        <v>172</v>
      </c>
      <c r="B92" s="17">
        <v>41315</v>
      </c>
      <c r="C92" s="41" t="s">
        <v>183</v>
      </c>
      <c r="D92" s="1" t="s">
        <v>258</v>
      </c>
      <c r="E92" s="16">
        <v>672</v>
      </c>
      <c r="G92" s="16">
        <f t="shared" si="43"/>
        <v>12221.990000000005</v>
      </c>
      <c r="J92" s="1" t="str">
        <f t="shared" si="44"/>
        <v>Entered</v>
      </c>
    </row>
    <row r="93" spans="1:10">
      <c r="A93" s="47" t="s">
        <v>172</v>
      </c>
      <c r="B93" s="17">
        <v>41346</v>
      </c>
      <c r="C93" s="41" t="s">
        <v>231</v>
      </c>
      <c r="D93" s="1" t="s">
        <v>176</v>
      </c>
      <c r="F93" s="16">
        <v>825</v>
      </c>
      <c r="G93" s="16">
        <f t="shared" si="43"/>
        <v>13046.990000000005</v>
      </c>
      <c r="J93" s="1" t="str">
        <f t="shared" si="44"/>
        <v>Entered</v>
      </c>
    </row>
    <row r="94" spans="1:10">
      <c r="A94" s="47" t="s">
        <v>172</v>
      </c>
      <c r="B94" s="17">
        <v>41319</v>
      </c>
      <c r="C94" s="41" t="s">
        <v>231</v>
      </c>
      <c r="D94" s="1" t="s">
        <v>121</v>
      </c>
      <c r="F94" s="16">
        <v>275</v>
      </c>
      <c r="G94" s="16">
        <f t="shared" si="43"/>
        <v>13321.990000000005</v>
      </c>
      <c r="J94" s="1" t="str">
        <f t="shared" si="44"/>
        <v>Entered</v>
      </c>
    </row>
    <row r="95" spans="1:10">
      <c r="A95" s="47" t="s">
        <v>172</v>
      </c>
      <c r="B95" s="17">
        <v>41319</v>
      </c>
      <c r="C95" s="41" t="s">
        <v>231</v>
      </c>
      <c r="D95" s="1" t="s">
        <v>121</v>
      </c>
      <c r="F95" s="16">
        <v>275</v>
      </c>
      <c r="G95" s="16">
        <f t="shared" ref="G95:G99" si="45">G94-E95+F95</f>
        <v>13596.990000000005</v>
      </c>
      <c r="J95" s="1" t="str">
        <f t="shared" ref="J95:J99" si="46">IF(VLOOKUP(C95,Transaction_Number,1,FALSE)=C95,"Entered","Error")</f>
        <v>Entered</v>
      </c>
    </row>
    <row r="96" spans="1:10">
      <c r="A96" s="47" t="s">
        <v>172</v>
      </c>
      <c r="B96" s="17">
        <v>41320</v>
      </c>
      <c r="C96" s="41">
        <v>100151</v>
      </c>
      <c r="D96" s="1" t="s">
        <v>358</v>
      </c>
      <c r="E96" s="16">
        <v>700</v>
      </c>
      <c r="G96" s="16">
        <f t="shared" si="45"/>
        <v>12896.990000000005</v>
      </c>
      <c r="J96" s="1" t="str">
        <f t="shared" si="46"/>
        <v>Entered</v>
      </c>
    </row>
    <row r="97" spans="1:10">
      <c r="A97" s="47" t="s">
        <v>172</v>
      </c>
      <c r="B97" s="17">
        <v>41330</v>
      </c>
      <c r="C97" s="41" t="s">
        <v>231</v>
      </c>
      <c r="D97" s="1" t="s">
        <v>318</v>
      </c>
      <c r="F97" s="16">
        <v>50</v>
      </c>
      <c r="G97" s="16">
        <f t="shared" si="45"/>
        <v>12946.990000000005</v>
      </c>
      <c r="J97" s="1" t="str">
        <f t="shared" si="46"/>
        <v>Entered</v>
      </c>
    </row>
    <row r="98" spans="1:10">
      <c r="A98" s="47" t="s">
        <v>172</v>
      </c>
      <c r="B98" s="17">
        <v>41340</v>
      </c>
      <c r="C98" s="41" t="s">
        <v>183</v>
      </c>
      <c r="D98" s="1" t="s">
        <v>188</v>
      </c>
      <c r="E98" s="16">
        <v>250</v>
      </c>
      <c r="G98" s="16">
        <f t="shared" si="45"/>
        <v>12696.990000000005</v>
      </c>
      <c r="J98" s="1" t="str">
        <f t="shared" si="46"/>
        <v>Entered</v>
      </c>
    </row>
    <row r="99" spans="1:10">
      <c r="A99" s="47" t="s">
        <v>172</v>
      </c>
      <c r="B99" s="17">
        <v>41340</v>
      </c>
      <c r="C99" s="41" t="s">
        <v>183</v>
      </c>
      <c r="D99" s="1" t="s">
        <v>188</v>
      </c>
      <c r="E99" s="16">
        <v>513.24</v>
      </c>
      <c r="G99" s="16">
        <f t="shared" si="45"/>
        <v>12183.750000000005</v>
      </c>
      <c r="J99" s="1" t="str">
        <f t="shared" si="46"/>
        <v>Entered</v>
      </c>
    </row>
    <row r="100" spans="1:10">
      <c r="A100" s="47" t="s">
        <v>172</v>
      </c>
      <c r="B100" s="17">
        <v>41340</v>
      </c>
      <c r="C100" s="41" t="s">
        <v>183</v>
      </c>
      <c r="D100" s="1" t="s">
        <v>316</v>
      </c>
      <c r="E100" s="16">
        <v>250</v>
      </c>
      <c r="G100" s="16">
        <f t="shared" ref="G100:G105" si="47">G99-E100+F100</f>
        <v>11933.750000000005</v>
      </c>
      <c r="J100" s="1" t="str">
        <f t="shared" ref="J100:J105" si="48">IF(VLOOKUP(C100,Transaction_Number,1,FALSE)=C100,"Entered","Error")</f>
        <v>Entered</v>
      </c>
    </row>
    <row r="101" spans="1:10">
      <c r="A101" s="47" t="s">
        <v>172</v>
      </c>
      <c r="B101" s="17">
        <v>41340</v>
      </c>
      <c r="C101" s="41" t="s">
        <v>183</v>
      </c>
      <c r="D101" s="1" t="s">
        <v>353</v>
      </c>
      <c r="E101" s="16">
        <v>898.2</v>
      </c>
      <c r="G101" s="16">
        <f t="shared" si="47"/>
        <v>11035.550000000005</v>
      </c>
      <c r="J101" s="1" t="str">
        <f t="shared" si="48"/>
        <v>Entered</v>
      </c>
    </row>
    <row r="102" spans="1:10">
      <c r="A102" s="47" t="s">
        <v>172</v>
      </c>
      <c r="B102" s="17">
        <v>41340</v>
      </c>
      <c r="C102" s="41" t="s">
        <v>183</v>
      </c>
      <c r="D102" s="1" t="s">
        <v>354</v>
      </c>
      <c r="E102" s="16">
        <v>250</v>
      </c>
      <c r="G102" s="16">
        <f t="shared" si="47"/>
        <v>10785.550000000005</v>
      </c>
      <c r="J102" s="1" t="str">
        <f t="shared" si="48"/>
        <v>Entered</v>
      </c>
    </row>
    <row r="103" spans="1:10">
      <c r="A103" s="47" t="s">
        <v>172</v>
      </c>
      <c r="B103" s="17">
        <v>41340</v>
      </c>
      <c r="C103" s="41" t="s">
        <v>231</v>
      </c>
      <c r="F103" s="16">
        <v>275</v>
      </c>
      <c r="G103" s="16">
        <f t="shared" si="47"/>
        <v>11060.550000000005</v>
      </c>
      <c r="J103" s="1" t="str">
        <f t="shared" si="48"/>
        <v>Entered</v>
      </c>
    </row>
    <row r="104" spans="1:10">
      <c r="A104" s="47" t="s">
        <v>172</v>
      </c>
      <c r="B104" s="17">
        <v>41356</v>
      </c>
      <c r="C104" s="41" t="s">
        <v>183</v>
      </c>
      <c r="D104" s="1" t="s">
        <v>355</v>
      </c>
      <c r="E104" s="16">
        <v>363.9</v>
      </c>
      <c r="G104" s="16">
        <f t="shared" si="47"/>
        <v>10696.650000000005</v>
      </c>
      <c r="J104" s="1" t="str">
        <f t="shared" si="48"/>
        <v>Entered</v>
      </c>
    </row>
    <row r="105" spans="1:10">
      <c r="A105" s="47" t="s">
        <v>172</v>
      </c>
      <c r="B105" s="17">
        <v>41356</v>
      </c>
      <c r="C105" s="41" t="s">
        <v>183</v>
      </c>
      <c r="D105" s="1" t="s">
        <v>258</v>
      </c>
      <c r="E105" s="16">
        <v>672</v>
      </c>
      <c r="G105" s="16">
        <f t="shared" si="47"/>
        <v>10024.650000000005</v>
      </c>
      <c r="J105" s="1" t="str">
        <f t="shared" si="48"/>
        <v>Entered</v>
      </c>
    </row>
    <row r="106" spans="1:10">
      <c r="A106" s="47" t="s">
        <v>172</v>
      </c>
      <c r="B106" s="17">
        <v>41357</v>
      </c>
      <c r="C106" s="41" t="s">
        <v>183</v>
      </c>
      <c r="D106" s="1" t="s">
        <v>351</v>
      </c>
      <c r="E106" s="16">
        <v>500</v>
      </c>
      <c r="G106" s="16">
        <f t="shared" ref="G106:G109" si="49">G105-E106+F106</f>
        <v>9524.6500000000051</v>
      </c>
      <c r="J106" s="1" t="str">
        <f t="shared" ref="J106:J109" si="50">IF(VLOOKUP(C106,Transaction_Number,1,FALSE)=C106,"Entered","Error")</f>
        <v>Entered</v>
      </c>
    </row>
    <row r="107" spans="1:10">
      <c r="A107" s="47" t="s">
        <v>172</v>
      </c>
      <c r="B107" s="17">
        <v>41357</v>
      </c>
      <c r="C107" s="41" t="s">
        <v>183</v>
      </c>
      <c r="D107" s="1" t="s">
        <v>351</v>
      </c>
      <c r="E107" s="16">
        <v>250</v>
      </c>
      <c r="G107" s="16">
        <f t="shared" si="49"/>
        <v>9274.6500000000051</v>
      </c>
      <c r="J107" s="1" t="str">
        <f t="shared" si="50"/>
        <v>Entered</v>
      </c>
    </row>
    <row r="108" spans="1:10">
      <c r="A108" s="47" t="s">
        <v>172</v>
      </c>
      <c r="B108" s="17">
        <v>41357</v>
      </c>
      <c r="C108" s="41" t="s">
        <v>183</v>
      </c>
      <c r="D108" s="1" t="s">
        <v>217</v>
      </c>
      <c r="E108" s="16">
        <v>250</v>
      </c>
      <c r="G108" s="16">
        <f t="shared" si="49"/>
        <v>9024.6500000000051</v>
      </c>
      <c r="J108" s="1" t="str">
        <f t="shared" si="50"/>
        <v>Entered</v>
      </c>
    </row>
    <row r="109" spans="1:10">
      <c r="A109" s="47" t="s">
        <v>172</v>
      </c>
      <c r="B109" s="17">
        <v>41358</v>
      </c>
      <c r="C109" s="41" t="s">
        <v>183</v>
      </c>
      <c r="D109" s="1" t="s">
        <v>262</v>
      </c>
      <c r="E109" s="16">
        <v>500</v>
      </c>
      <c r="G109" s="16">
        <f t="shared" si="49"/>
        <v>8524.6500000000051</v>
      </c>
      <c r="J109" s="1" t="str">
        <f t="shared" si="50"/>
        <v>Entered</v>
      </c>
    </row>
    <row r="110" spans="1:10">
      <c r="A110" s="47" t="s">
        <v>172</v>
      </c>
      <c r="B110" s="17">
        <v>41358</v>
      </c>
      <c r="C110" s="41" t="s">
        <v>183</v>
      </c>
      <c r="D110" s="1" t="s">
        <v>356</v>
      </c>
      <c r="E110" s="16">
        <v>698.09</v>
      </c>
      <c r="G110" s="16">
        <f t="shared" si="43"/>
        <v>7826.5600000000049</v>
      </c>
      <c r="J110" s="1" t="str">
        <f t="shared" si="44"/>
        <v>Entered</v>
      </c>
    </row>
    <row r="111" spans="1:10">
      <c r="A111" s="47" t="s">
        <v>172</v>
      </c>
      <c r="B111" s="17">
        <v>41360</v>
      </c>
      <c r="C111" s="41" t="s">
        <v>231</v>
      </c>
      <c r="D111" s="1" t="s">
        <v>121</v>
      </c>
      <c r="F111" s="16">
        <v>4125</v>
      </c>
      <c r="G111" s="16">
        <f t="shared" si="35"/>
        <v>11951.560000000005</v>
      </c>
      <c r="J111" s="1" t="str">
        <f t="shared" si="36"/>
        <v>Entered</v>
      </c>
    </row>
    <row r="112" spans="1:10">
      <c r="A112" s="47"/>
      <c r="B112" s="17"/>
      <c r="C112" s="41"/>
      <c r="G112" s="16">
        <f t="shared" ref="G112" si="51">G111-E112+F112</f>
        <v>11951.560000000005</v>
      </c>
      <c r="J112" s="1" t="e">
        <f t="shared" ref="J112" si="52">IF(VLOOKUP(C112,Transaction_Number,1,FALSE)=C112,"Entered","Error")</f>
        <v>#N/A</v>
      </c>
    </row>
    <row r="113" spans="1:17">
      <c r="A113" s="33"/>
      <c r="B113" s="34"/>
      <c r="C113" s="28"/>
      <c r="D113" s="35" t="str">
        <f>"Closing Balance at "&amp;Report_end_date</f>
        <v>Closing Balance at 31 March 2013</v>
      </c>
      <c r="E113" s="30"/>
      <c r="F113" s="30"/>
      <c r="G113" s="16">
        <f>G112</f>
        <v>11951.560000000005</v>
      </c>
      <c r="J113" s="25"/>
      <c r="K113" s="46"/>
      <c r="L113" s="25"/>
      <c r="M113" s="25"/>
      <c r="Q113" s="1"/>
    </row>
    <row r="114" spans="1:17">
      <c r="C114" s="20"/>
      <c r="D114" s="21"/>
      <c r="Q114" s="1"/>
    </row>
    <row r="115" spans="1:17">
      <c r="C115" s="20"/>
      <c r="D115" s="21" t="s">
        <v>5</v>
      </c>
      <c r="E115" s="16">
        <f>SUM(E11:E113)</f>
        <v>57791.119999999995</v>
      </c>
      <c r="F115" s="16">
        <f>SUM(F11:F113)</f>
        <v>37157.949999999997</v>
      </c>
      <c r="I115" s="43">
        <f>HSBC_closing_balance+SUMIF(A7:A113,"",E7:E113)-SUMIF(A7:A113,"",F7:F113)</f>
        <v>12259.240000000005</v>
      </c>
      <c r="J115" s="1" t="s">
        <v>69</v>
      </c>
      <c r="K115" s="44"/>
      <c r="Q115" s="1"/>
    </row>
    <row r="116" spans="1:17">
      <c r="C116" s="20"/>
      <c r="Q116" s="1"/>
    </row>
    <row r="117" spans="1:17">
      <c r="C117" s="20"/>
      <c r="F117" s="16" t="s">
        <v>23</v>
      </c>
      <c r="G117" s="16">
        <f>HSBC_opening_balance+HSBC_credit_total-HSBC_debit_totals</f>
        <v>11951.559999999998</v>
      </c>
      <c r="I117" s="45">
        <f>I119-I115</f>
        <v>0</v>
      </c>
      <c r="J117" s="1" t="s">
        <v>68</v>
      </c>
      <c r="Q117" s="1"/>
    </row>
    <row r="118" spans="1:17">
      <c r="C118" s="20"/>
      <c r="G118" s="16">
        <f>HSBC_closing_balance-G117</f>
        <v>0</v>
      </c>
      <c r="K118" s="45"/>
      <c r="Q118" s="1"/>
    </row>
    <row r="119" spans="1:17">
      <c r="B119" s="19" t="s">
        <v>51</v>
      </c>
      <c r="C119" s="63">
        <f>COUNTIF(C11:C112,"&gt;100000")</f>
        <v>4</v>
      </c>
      <c r="D119" s="1" t="s">
        <v>50</v>
      </c>
      <c r="F119" s="20"/>
      <c r="I119" s="45">
        <v>12259.24</v>
      </c>
      <c r="J119" s="1" t="s">
        <v>30</v>
      </c>
      <c r="Q119" s="1"/>
    </row>
    <row r="120" spans="1:17">
      <c r="B120" s="19" t="s">
        <v>231</v>
      </c>
      <c r="C120" s="63">
        <f>COUNTIF(C11:C112,B120)</f>
        <v>33</v>
      </c>
      <c r="D120" s="1" t="s">
        <v>49</v>
      </c>
      <c r="Q120" s="1"/>
    </row>
    <row r="121" spans="1:17">
      <c r="B121" s="19" t="s">
        <v>183</v>
      </c>
      <c r="C121" s="63">
        <f>COUNTIF(C12:C113,B121)</f>
        <v>58</v>
      </c>
      <c r="Q121" s="1"/>
    </row>
    <row r="122" spans="1:17">
      <c r="B122" s="19" t="s">
        <v>271</v>
      </c>
      <c r="C122" s="63">
        <f>COUNTIF(C13:C114,B122)</f>
        <v>5</v>
      </c>
      <c r="I122" s="45"/>
      <c r="Q122" s="1"/>
    </row>
    <row r="123" spans="1:17">
      <c r="B123" s="19" t="s">
        <v>31</v>
      </c>
      <c r="C123" s="63">
        <f>COUNTIF(C14:C115,B123)</f>
        <v>0</v>
      </c>
      <c r="Q123" s="1"/>
    </row>
    <row r="124" spans="1:17">
      <c r="C124" s="20"/>
      <c r="Q124" s="1"/>
    </row>
    <row r="125" spans="1:17">
      <c r="C125" s="20"/>
      <c r="Q125" s="1"/>
    </row>
    <row r="126" spans="1:17">
      <c r="C126" s="20"/>
      <c r="Q126" s="1"/>
    </row>
    <row r="127" spans="1:17">
      <c r="C127" s="20"/>
      <c r="Q127" s="1"/>
    </row>
    <row r="128" spans="1:17">
      <c r="C128" s="20"/>
      <c r="Q128" s="1"/>
    </row>
    <row r="129" spans="3:17">
      <c r="C129" s="20"/>
      <c r="Q129" s="1"/>
    </row>
    <row r="130" spans="3:17">
      <c r="C130" s="20"/>
      <c r="Q130" s="1"/>
    </row>
    <row r="131" spans="3:17">
      <c r="C131" s="20"/>
      <c r="Q131" s="1"/>
    </row>
    <row r="132" spans="3:17">
      <c r="C132" s="20"/>
      <c r="Q132" s="1"/>
    </row>
    <row r="133" spans="3:17">
      <c r="C133" s="20"/>
      <c r="Q133" s="1"/>
    </row>
    <row r="134" spans="3:17">
      <c r="C134" s="20"/>
      <c r="Q134" s="1"/>
    </row>
    <row r="135" spans="3:17">
      <c r="C135" s="20"/>
      <c r="Q135" s="1"/>
    </row>
    <row r="136" spans="3:17">
      <c r="C136" s="20"/>
      <c r="Q136" s="1"/>
    </row>
    <row r="137" spans="3:17">
      <c r="C137" s="20"/>
      <c r="Q137" s="1"/>
    </row>
    <row r="138" spans="3:17">
      <c r="C138" s="20"/>
      <c r="Q138" s="1"/>
    </row>
    <row r="139" spans="3:17">
      <c r="C139" s="20"/>
      <c r="Q139" s="1"/>
    </row>
    <row r="140" spans="3:17">
      <c r="C140" s="20"/>
      <c r="Q140" s="1"/>
    </row>
    <row r="141" spans="3:17">
      <c r="C141" s="20"/>
      <c r="Q141" s="1"/>
    </row>
    <row r="142" spans="3:17">
      <c r="C142" s="20"/>
      <c r="Q142" s="1"/>
    </row>
    <row r="143" spans="3:17">
      <c r="C143" s="20"/>
      <c r="Q143" s="1"/>
    </row>
    <row r="144" spans="3:17">
      <c r="C144" s="20"/>
      <c r="Q144" s="1"/>
    </row>
    <row r="145" spans="3:17">
      <c r="C145" s="20"/>
      <c r="Q145" s="1"/>
    </row>
    <row r="146" spans="3:17">
      <c r="C146" s="20"/>
      <c r="Q146" s="1"/>
    </row>
    <row r="147" spans="3:17">
      <c r="C147" s="20"/>
      <c r="Q147" s="1"/>
    </row>
    <row r="148" spans="3:17">
      <c r="C148" s="20"/>
      <c r="Q148" s="1"/>
    </row>
    <row r="149" spans="3:17">
      <c r="C149" s="20"/>
      <c r="Q149" s="1"/>
    </row>
    <row r="150" spans="3:17">
      <c r="C150" s="20"/>
      <c r="Q150" s="1"/>
    </row>
    <row r="151" spans="3:17">
      <c r="C151" s="20"/>
      <c r="Q151" s="1"/>
    </row>
    <row r="152" spans="3:17">
      <c r="C152" s="20"/>
      <c r="Q152" s="1"/>
    </row>
    <row r="153" spans="3:17">
      <c r="C153" s="20"/>
      <c r="Q153" s="1"/>
    </row>
    <row r="154" spans="3:17">
      <c r="C154" s="20"/>
      <c r="Q154" s="1"/>
    </row>
    <row r="155" spans="3:17">
      <c r="C155" s="20"/>
      <c r="Q155" s="1"/>
    </row>
    <row r="156" spans="3:17">
      <c r="C156" s="20"/>
      <c r="Q156" s="1"/>
    </row>
    <row r="157" spans="3:17">
      <c r="C157" s="20"/>
      <c r="Q157" s="1"/>
    </row>
    <row r="158" spans="3:17">
      <c r="C158" s="20"/>
      <c r="Q158" s="1"/>
    </row>
    <row r="159" spans="3:17">
      <c r="C159" s="20"/>
      <c r="Q159" s="1"/>
    </row>
    <row r="160" spans="3:17">
      <c r="C160" s="20"/>
      <c r="Q160" s="1"/>
    </row>
    <row r="161" spans="3:17">
      <c r="C161" s="20"/>
      <c r="Q161" s="1"/>
    </row>
    <row r="162" spans="3:17">
      <c r="C162" s="20"/>
      <c r="Q162" s="1"/>
    </row>
    <row r="163" spans="3:17">
      <c r="C163" s="20"/>
      <c r="Q163" s="1"/>
    </row>
    <row r="164" spans="3:17">
      <c r="C164" s="20"/>
      <c r="Q164" s="1"/>
    </row>
    <row r="165" spans="3:17">
      <c r="C165" s="20"/>
      <c r="Q165" s="1"/>
    </row>
    <row r="166" spans="3:17">
      <c r="C166" s="20"/>
      <c r="Q166" s="1"/>
    </row>
    <row r="167" spans="3:17">
      <c r="C167" s="20"/>
      <c r="Q167" s="1"/>
    </row>
    <row r="168" spans="3:17">
      <c r="C168" s="20"/>
      <c r="Q168" s="1"/>
    </row>
    <row r="169" spans="3:17">
      <c r="C169" s="20"/>
      <c r="Q169" s="1"/>
    </row>
    <row r="170" spans="3:17">
      <c r="C170" s="20"/>
      <c r="Q170" s="1"/>
    </row>
    <row r="171" spans="3:17">
      <c r="C171" s="20"/>
      <c r="Q171" s="1"/>
    </row>
    <row r="172" spans="3:17">
      <c r="C172" s="20"/>
      <c r="Q172" s="1"/>
    </row>
    <row r="173" spans="3:17">
      <c r="C173" s="20"/>
      <c r="Q173" s="1"/>
    </row>
    <row r="174" spans="3:17">
      <c r="C174" s="20"/>
      <c r="Q174" s="1"/>
    </row>
    <row r="175" spans="3:17">
      <c r="C175" s="20"/>
      <c r="Q175" s="1"/>
    </row>
    <row r="176" spans="3:17">
      <c r="C176" s="20"/>
      <c r="Q176" s="1"/>
    </row>
    <row r="177" spans="3:17">
      <c r="C177" s="20"/>
      <c r="Q177" s="1"/>
    </row>
    <row r="178" spans="3:17">
      <c r="C178" s="20"/>
      <c r="Q178" s="1"/>
    </row>
    <row r="179" spans="3:17">
      <c r="C179" s="20"/>
      <c r="Q179" s="1"/>
    </row>
    <row r="180" spans="3:17">
      <c r="C180" s="20"/>
      <c r="Q180" s="1"/>
    </row>
    <row r="181" spans="3:17">
      <c r="C181" s="20"/>
      <c r="Q181" s="1"/>
    </row>
    <row r="182" spans="3:17">
      <c r="C182" s="20"/>
      <c r="Q182" s="1"/>
    </row>
    <row r="183" spans="3:17">
      <c r="C183" s="20"/>
      <c r="Q183" s="1"/>
    </row>
    <row r="184" spans="3:17">
      <c r="C184" s="20"/>
      <c r="Q184" s="1"/>
    </row>
    <row r="185" spans="3:17">
      <c r="C185" s="20"/>
      <c r="Q185" s="1"/>
    </row>
    <row r="186" spans="3:17">
      <c r="C186" s="20"/>
      <c r="Q186" s="1"/>
    </row>
    <row r="187" spans="3:17">
      <c r="C187" s="20"/>
      <c r="Q187" s="1"/>
    </row>
    <row r="188" spans="3:17">
      <c r="C188" s="20"/>
      <c r="Q188" s="1"/>
    </row>
    <row r="189" spans="3:17">
      <c r="C189" s="20"/>
      <c r="Q189" s="1"/>
    </row>
    <row r="190" spans="3:17">
      <c r="C190" s="20"/>
      <c r="Q190" s="1"/>
    </row>
    <row r="191" spans="3:17">
      <c r="C191" s="20"/>
      <c r="Q191" s="1"/>
    </row>
    <row r="192" spans="3:17">
      <c r="C192" s="20"/>
      <c r="Q192" s="1"/>
    </row>
    <row r="193" spans="3:17">
      <c r="C193" s="20"/>
      <c r="Q193" s="1"/>
    </row>
    <row r="194" spans="3:17">
      <c r="C194" s="20"/>
      <c r="Q194" s="1"/>
    </row>
    <row r="195" spans="3:17">
      <c r="C195" s="20"/>
      <c r="Q195" s="1"/>
    </row>
    <row r="196" spans="3:17">
      <c r="C196" s="20"/>
      <c r="Q196" s="1"/>
    </row>
    <row r="197" spans="3:17">
      <c r="C197" s="20"/>
      <c r="Q197" s="1"/>
    </row>
    <row r="198" spans="3:17">
      <c r="C198" s="20"/>
      <c r="Q198" s="1"/>
    </row>
    <row r="199" spans="3:17">
      <c r="C199" s="20"/>
      <c r="Q199" s="1"/>
    </row>
    <row r="200" spans="3:17">
      <c r="C200" s="20"/>
      <c r="Q200" s="1"/>
    </row>
    <row r="201" spans="3:17">
      <c r="C201" s="20"/>
      <c r="Q201" s="1"/>
    </row>
    <row r="202" spans="3:17">
      <c r="C202" s="20"/>
      <c r="Q202" s="1"/>
    </row>
    <row r="203" spans="3:17">
      <c r="C203" s="20"/>
      <c r="Q203" s="1"/>
    </row>
    <row r="204" spans="3:17">
      <c r="C204" s="20"/>
      <c r="Q204" s="1"/>
    </row>
    <row r="205" spans="3:17">
      <c r="C205" s="20"/>
      <c r="Q205" s="1"/>
    </row>
    <row r="206" spans="3:17">
      <c r="C206" s="20"/>
      <c r="Q206" s="1"/>
    </row>
    <row r="207" spans="3:17">
      <c r="C207" s="20"/>
      <c r="Q207" s="1"/>
    </row>
    <row r="208" spans="3:17">
      <c r="C208" s="20"/>
      <c r="Q208" s="1"/>
    </row>
    <row r="209" spans="3:17">
      <c r="C209" s="20"/>
      <c r="Q209" s="1"/>
    </row>
    <row r="210" spans="3:17">
      <c r="C210" s="20"/>
      <c r="Q210" s="1"/>
    </row>
    <row r="211" spans="3:17">
      <c r="C211" s="20"/>
      <c r="Q211" s="1"/>
    </row>
    <row r="212" spans="3:17">
      <c r="C212" s="20"/>
      <c r="Q212" s="1"/>
    </row>
    <row r="213" spans="3:17">
      <c r="C213" s="20"/>
      <c r="Q213" s="1"/>
    </row>
    <row r="214" spans="3:17">
      <c r="C214" s="20"/>
      <c r="Q214" s="1"/>
    </row>
    <row r="215" spans="3:17">
      <c r="C215" s="20"/>
      <c r="Q215" s="1"/>
    </row>
    <row r="216" spans="3:17">
      <c r="C216" s="20"/>
      <c r="Q216" s="1"/>
    </row>
    <row r="217" spans="3:17">
      <c r="C217" s="20"/>
      <c r="Q217" s="1"/>
    </row>
    <row r="218" spans="3:17">
      <c r="C218" s="20"/>
      <c r="Q218" s="1"/>
    </row>
    <row r="219" spans="3:17">
      <c r="C219" s="20"/>
      <c r="Q219" s="1"/>
    </row>
    <row r="220" spans="3:17">
      <c r="C220" s="20"/>
      <c r="Q220" s="1"/>
    </row>
    <row r="221" spans="3:17">
      <c r="C221" s="20"/>
      <c r="Q221" s="1"/>
    </row>
    <row r="222" spans="3:17">
      <c r="C222" s="20"/>
      <c r="Q222" s="1"/>
    </row>
    <row r="223" spans="3:17">
      <c r="C223" s="20"/>
      <c r="Q223" s="1"/>
    </row>
    <row r="224" spans="3:17">
      <c r="C224" s="20"/>
      <c r="Q224" s="1"/>
    </row>
    <row r="225" spans="3:17">
      <c r="C225" s="20"/>
      <c r="Q225" s="1"/>
    </row>
    <row r="226" spans="3:17">
      <c r="C226" s="20"/>
      <c r="Q226" s="1"/>
    </row>
    <row r="227" spans="3:17">
      <c r="C227" s="20"/>
      <c r="Q227" s="1"/>
    </row>
    <row r="228" spans="3:17">
      <c r="C228" s="20"/>
      <c r="Q228" s="1"/>
    </row>
    <row r="229" spans="3:17">
      <c r="C229" s="20"/>
      <c r="Q229" s="1"/>
    </row>
    <row r="230" spans="3:17">
      <c r="C230" s="20"/>
      <c r="Q230" s="1"/>
    </row>
    <row r="231" spans="3:17">
      <c r="C231" s="20"/>
      <c r="Q231" s="1"/>
    </row>
    <row r="232" spans="3:17">
      <c r="C232" s="20"/>
      <c r="Q232" s="1"/>
    </row>
    <row r="233" spans="3:17">
      <c r="C233" s="20"/>
      <c r="Q233" s="1"/>
    </row>
    <row r="234" spans="3:17">
      <c r="C234" s="20"/>
      <c r="Q234" s="1"/>
    </row>
    <row r="235" spans="3:17">
      <c r="C235" s="20"/>
      <c r="Q235" s="1"/>
    </row>
    <row r="236" spans="3:17">
      <c r="C236" s="20"/>
      <c r="Q236" s="1"/>
    </row>
    <row r="237" spans="3:17">
      <c r="C237" s="20"/>
      <c r="Q237" s="1"/>
    </row>
    <row r="238" spans="3:17">
      <c r="C238" s="20"/>
      <c r="Q238" s="1"/>
    </row>
    <row r="239" spans="3:17">
      <c r="C239" s="20"/>
      <c r="Q239" s="1"/>
    </row>
    <row r="240" spans="3:17">
      <c r="C240" s="20"/>
      <c r="Q240" s="1"/>
    </row>
    <row r="241" spans="3:17">
      <c r="C241" s="20"/>
      <c r="Q241" s="1"/>
    </row>
    <row r="242" spans="3:17">
      <c r="C242" s="20"/>
      <c r="Q242" s="1"/>
    </row>
    <row r="243" spans="3:17">
      <c r="C243" s="20"/>
      <c r="Q243" s="1"/>
    </row>
    <row r="244" spans="3:17">
      <c r="C244" s="20"/>
      <c r="Q244" s="1"/>
    </row>
    <row r="245" spans="3:17">
      <c r="C245" s="20"/>
      <c r="Q245" s="1"/>
    </row>
    <row r="246" spans="3:17">
      <c r="C246" s="20"/>
      <c r="Q246" s="1"/>
    </row>
    <row r="247" spans="3:17">
      <c r="C247" s="20"/>
      <c r="Q247" s="1"/>
    </row>
    <row r="248" spans="3:17">
      <c r="C248" s="20"/>
      <c r="Q248" s="1"/>
    </row>
    <row r="249" spans="3:17">
      <c r="C249" s="20"/>
      <c r="Q249" s="1"/>
    </row>
    <row r="250" spans="3:17">
      <c r="C250" s="20"/>
      <c r="Q250" s="1"/>
    </row>
    <row r="251" spans="3:17">
      <c r="C251" s="20"/>
      <c r="Q251" s="1"/>
    </row>
    <row r="252" spans="3:17">
      <c r="C252" s="20"/>
      <c r="Q252" s="1"/>
    </row>
    <row r="253" spans="3:17">
      <c r="C253" s="20"/>
      <c r="Q253" s="1"/>
    </row>
    <row r="254" spans="3:17">
      <c r="C254" s="20"/>
      <c r="Q254" s="1"/>
    </row>
    <row r="255" spans="3:17">
      <c r="C255" s="20"/>
      <c r="Q255" s="1"/>
    </row>
    <row r="256" spans="3:17">
      <c r="C256" s="20"/>
      <c r="Q256" s="1"/>
    </row>
    <row r="257" spans="3:17">
      <c r="C257" s="20"/>
      <c r="Q257" s="1"/>
    </row>
    <row r="258" spans="3:17">
      <c r="C258" s="20"/>
      <c r="Q258" s="1"/>
    </row>
    <row r="259" spans="3:17">
      <c r="C259" s="20"/>
      <c r="Q259" s="1"/>
    </row>
    <row r="260" spans="3:17">
      <c r="C260" s="20"/>
      <c r="Q260" s="1"/>
    </row>
    <row r="261" spans="3:17">
      <c r="C261" s="20"/>
      <c r="Q261" s="1"/>
    </row>
    <row r="262" spans="3:17">
      <c r="C262" s="20"/>
      <c r="Q262" s="1"/>
    </row>
    <row r="263" spans="3:17">
      <c r="C263" s="20"/>
      <c r="Q263" s="1"/>
    </row>
    <row r="264" spans="3:17">
      <c r="C264" s="20"/>
      <c r="Q264" s="1"/>
    </row>
    <row r="265" spans="3:17">
      <c r="C265" s="20"/>
      <c r="Q265" s="1"/>
    </row>
    <row r="266" spans="3:17">
      <c r="C266" s="20"/>
      <c r="Q266" s="1"/>
    </row>
    <row r="267" spans="3:17">
      <c r="C267" s="20"/>
      <c r="Q267" s="1"/>
    </row>
    <row r="268" spans="3:17">
      <c r="C268" s="20"/>
      <c r="Q268" s="1"/>
    </row>
    <row r="269" spans="3:17">
      <c r="C269" s="20"/>
      <c r="Q269" s="1"/>
    </row>
    <row r="270" spans="3:17">
      <c r="C270" s="20"/>
      <c r="Q270" s="1"/>
    </row>
    <row r="271" spans="3:17">
      <c r="C271" s="20"/>
      <c r="Q271" s="1"/>
    </row>
    <row r="272" spans="3:17">
      <c r="C272" s="20"/>
      <c r="Q272" s="1"/>
    </row>
    <row r="273" spans="3:17">
      <c r="C273" s="20"/>
      <c r="Q273" s="1"/>
    </row>
    <row r="274" spans="3:17">
      <c r="C274" s="20"/>
      <c r="Q274" s="1"/>
    </row>
    <row r="275" spans="3:17">
      <c r="C275" s="20"/>
      <c r="Q275" s="1"/>
    </row>
    <row r="276" spans="3:17">
      <c r="C276" s="20"/>
      <c r="Q276" s="1"/>
    </row>
    <row r="277" spans="3:17">
      <c r="C277" s="20"/>
      <c r="Q277" s="1"/>
    </row>
    <row r="278" spans="3:17">
      <c r="C278" s="20"/>
      <c r="Q278" s="1"/>
    </row>
    <row r="279" spans="3:17">
      <c r="C279" s="20"/>
      <c r="Q279" s="1"/>
    </row>
    <row r="280" spans="3:17">
      <c r="C280" s="20"/>
      <c r="Q280" s="1"/>
    </row>
    <row r="281" spans="3:17">
      <c r="C281" s="20"/>
      <c r="Q281" s="1"/>
    </row>
    <row r="282" spans="3:17">
      <c r="C282" s="20"/>
      <c r="Q282" s="1"/>
    </row>
    <row r="283" spans="3:17">
      <c r="C283" s="20"/>
      <c r="Q283" s="1"/>
    </row>
    <row r="284" spans="3:17">
      <c r="C284" s="20"/>
      <c r="Q284" s="1"/>
    </row>
    <row r="285" spans="3:17">
      <c r="C285" s="20"/>
      <c r="Q285" s="1"/>
    </row>
    <row r="286" spans="3:17">
      <c r="C286" s="20"/>
      <c r="Q286" s="1"/>
    </row>
    <row r="287" spans="3:17">
      <c r="C287" s="20"/>
      <c r="Q287" s="1"/>
    </row>
    <row r="288" spans="3:17">
      <c r="C288" s="20"/>
      <c r="Q288" s="1"/>
    </row>
    <row r="289" spans="3:17">
      <c r="C289" s="20"/>
      <c r="Q289" s="1"/>
    </row>
    <row r="290" spans="3:17">
      <c r="C290" s="20"/>
      <c r="Q290" s="1"/>
    </row>
    <row r="291" spans="3:17">
      <c r="C291" s="20"/>
      <c r="Q291" s="1"/>
    </row>
    <row r="292" spans="3:17">
      <c r="C292" s="20"/>
      <c r="Q292" s="1"/>
    </row>
    <row r="293" spans="3:17">
      <c r="C293" s="20"/>
      <c r="Q293" s="1"/>
    </row>
    <row r="294" spans="3:17">
      <c r="C294" s="20"/>
      <c r="Q294" s="1"/>
    </row>
    <row r="295" spans="3:17">
      <c r="C295" s="20"/>
      <c r="Q295" s="1"/>
    </row>
    <row r="296" spans="3:17">
      <c r="C296" s="20"/>
      <c r="Q296" s="1"/>
    </row>
    <row r="297" spans="3:17">
      <c r="C297" s="20"/>
      <c r="Q297" s="1"/>
    </row>
    <row r="298" spans="3:17">
      <c r="C298" s="20"/>
      <c r="Q298" s="1"/>
    </row>
    <row r="299" spans="3:17">
      <c r="C299" s="20"/>
      <c r="Q299" s="1"/>
    </row>
    <row r="300" spans="3:17">
      <c r="C300" s="20"/>
      <c r="Q300" s="1"/>
    </row>
    <row r="301" spans="3:17">
      <c r="C301" s="20"/>
      <c r="Q301" s="1"/>
    </row>
    <row r="302" spans="3:17">
      <c r="C302" s="20"/>
      <c r="Q302" s="1"/>
    </row>
    <row r="303" spans="3:17">
      <c r="C303" s="20"/>
      <c r="Q303" s="1"/>
    </row>
    <row r="304" spans="3:17">
      <c r="C304" s="20"/>
      <c r="Q304" s="1"/>
    </row>
    <row r="305" spans="3:17">
      <c r="C305" s="20"/>
      <c r="Q305" s="1"/>
    </row>
    <row r="306" spans="3:17">
      <c r="C306" s="20"/>
      <c r="Q306" s="1"/>
    </row>
    <row r="307" spans="3:17">
      <c r="C307" s="20"/>
      <c r="Q307" s="1"/>
    </row>
    <row r="308" spans="3:17">
      <c r="C308" s="20"/>
      <c r="Q308" s="1"/>
    </row>
    <row r="309" spans="3:17">
      <c r="C309" s="20"/>
      <c r="Q309" s="1"/>
    </row>
    <row r="310" spans="3:17">
      <c r="C310" s="20"/>
      <c r="Q310" s="1"/>
    </row>
    <row r="311" spans="3:17">
      <c r="C311" s="20"/>
      <c r="Q311" s="1"/>
    </row>
    <row r="312" spans="3:17">
      <c r="C312" s="20"/>
      <c r="Q312" s="1"/>
    </row>
    <row r="313" spans="3:17">
      <c r="C313" s="20"/>
      <c r="Q313" s="1"/>
    </row>
    <row r="314" spans="3:17">
      <c r="C314" s="20"/>
      <c r="Q314" s="1"/>
    </row>
    <row r="315" spans="3:17">
      <c r="C315" s="20"/>
      <c r="Q315" s="1"/>
    </row>
    <row r="316" spans="3:17">
      <c r="C316" s="20"/>
      <c r="Q316" s="1"/>
    </row>
    <row r="317" spans="3:17">
      <c r="C317" s="20"/>
      <c r="Q317" s="1"/>
    </row>
    <row r="318" spans="3:17">
      <c r="C318" s="20"/>
      <c r="Q318" s="1"/>
    </row>
    <row r="319" spans="3:17">
      <c r="C319" s="20"/>
      <c r="Q319" s="1"/>
    </row>
    <row r="320" spans="3:17">
      <c r="C320" s="20"/>
      <c r="Q320" s="1"/>
    </row>
    <row r="321" spans="3:17">
      <c r="C321" s="20"/>
      <c r="Q321" s="1"/>
    </row>
    <row r="322" spans="3:17">
      <c r="C322" s="20"/>
      <c r="Q322" s="1"/>
    </row>
    <row r="323" spans="3:17">
      <c r="C323" s="20"/>
      <c r="Q323" s="1"/>
    </row>
    <row r="324" spans="3:17">
      <c r="C324" s="20"/>
      <c r="Q324" s="1"/>
    </row>
    <row r="325" spans="3:17">
      <c r="C325" s="20"/>
      <c r="Q325" s="1"/>
    </row>
    <row r="326" spans="3:17">
      <c r="C326" s="20"/>
      <c r="Q326" s="1"/>
    </row>
    <row r="327" spans="3:17">
      <c r="C327" s="20"/>
      <c r="Q327" s="1"/>
    </row>
    <row r="328" spans="3:17">
      <c r="C328" s="20"/>
      <c r="Q328" s="1"/>
    </row>
    <row r="329" spans="3:17">
      <c r="C329" s="20"/>
      <c r="Q329" s="1"/>
    </row>
    <row r="330" spans="3:17">
      <c r="C330" s="20"/>
      <c r="Q330" s="1"/>
    </row>
    <row r="331" spans="3:17">
      <c r="C331" s="20"/>
      <c r="Q331" s="1"/>
    </row>
    <row r="332" spans="3:17">
      <c r="C332" s="20"/>
      <c r="Q332" s="1"/>
    </row>
    <row r="333" spans="3:17">
      <c r="C333" s="20"/>
      <c r="Q333" s="1"/>
    </row>
    <row r="334" spans="3:17">
      <c r="C334" s="20"/>
      <c r="Q334" s="1"/>
    </row>
    <row r="335" spans="3:17">
      <c r="C335" s="20"/>
      <c r="Q335" s="1"/>
    </row>
    <row r="336" spans="3:17">
      <c r="C336" s="20"/>
      <c r="Q336" s="1"/>
    </row>
    <row r="337" spans="3:17">
      <c r="C337" s="20"/>
      <c r="Q337" s="1"/>
    </row>
    <row r="338" spans="3:17">
      <c r="C338" s="20"/>
      <c r="Q338" s="1"/>
    </row>
    <row r="339" spans="3:17">
      <c r="C339" s="20"/>
      <c r="Q339" s="1"/>
    </row>
    <row r="340" spans="3:17">
      <c r="C340" s="20"/>
      <c r="Q340" s="1"/>
    </row>
    <row r="341" spans="3:17">
      <c r="C341" s="20"/>
      <c r="Q341" s="1"/>
    </row>
    <row r="342" spans="3:17">
      <c r="C342" s="20"/>
      <c r="Q342" s="1"/>
    </row>
    <row r="343" spans="3:17">
      <c r="C343" s="20"/>
      <c r="Q343" s="1"/>
    </row>
    <row r="344" spans="3:17">
      <c r="C344" s="20"/>
      <c r="Q344" s="1"/>
    </row>
    <row r="345" spans="3:17">
      <c r="C345" s="20"/>
      <c r="Q345" s="1"/>
    </row>
    <row r="346" spans="3:17">
      <c r="C346" s="20"/>
      <c r="Q346" s="1"/>
    </row>
    <row r="347" spans="3:17">
      <c r="C347" s="20"/>
      <c r="Q347" s="1"/>
    </row>
    <row r="348" spans="3:17">
      <c r="C348" s="20"/>
      <c r="Q348" s="1"/>
    </row>
    <row r="349" spans="3:17">
      <c r="C349" s="20"/>
      <c r="Q349" s="1"/>
    </row>
    <row r="350" spans="3:17">
      <c r="C350" s="20"/>
      <c r="Q350" s="1"/>
    </row>
    <row r="351" spans="3:17">
      <c r="C351" s="20"/>
      <c r="Q351" s="1"/>
    </row>
    <row r="352" spans="3:17">
      <c r="C352" s="20"/>
      <c r="Q352" s="1"/>
    </row>
    <row r="353" spans="3:17">
      <c r="C353" s="20"/>
      <c r="Q353" s="1"/>
    </row>
    <row r="354" spans="3:17">
      <c r="C354" s="20"/>
      <c r="Q354" s="1"/>
    </row>
    <row r="355" spans="3:17">
      <c r="C355" s="20"/>
      <c r="Q355" s="1"/>
    </row>
    <row r="356" spans="3:17">
      <c r="C356" s="20"/>
      <c r="Q356" s="1"/>
    </row>
    <row r="357" spans="3:17">
      <c r="C357" s="20"/>
      <c r="Q357" s="1"/>
    </row>
    <row r="358" spans="3:17">
      <c r="C358" s="20"/>
      <c r="Q358" s="1"/>
    </row>
    <row r="359" spans="3:17">
      <c r="C359" s="20"/>
      <c r="Q359" s="1"/>
    </row>
    <row r="360" spans="3:17">
      <c r="C360" s="20"/>
      <c r="Q360" s="1"/>
    </row>
    <row r="361" spans="3:17">
      <c r="C361" s="20"/>
      <c r="Q361" s="1"/>
    </row>
    <row r="362" spans="3:17">
      <c r="C362" s="20"/>
      <c r="Q362" s="1"/>
    </row>
    <row r="363" spans="3:17">
      <c r="C363" s="20"/>
      <c r="Q363" s="1"/>
    </row>
    <row r="364" spans="3:17">
      <c r="C364" s="20"/>
      <c r="Q364" s="1"/>
    </row>
    <row r="365" spans="3:17">
      <c r="C365" s="20"/>
      <c r="Q365" s="1"/>
    </row>
    <row r="366" spans="3:17">
      <c r="C366" s="20"/>
      <c r="Q366" s="1"/>
    </row>
    <row r="367" spans="3:17">
      <c r="C367" s="20"/>
      <c r="Q367" s="1"/>
    </row>
    <row r="368" spans="3:17">
      <c r="C368" s="20"/>
      <c r="Q368" s="1"/>
    </row>
    <row r="369" spans="3:17">
      <c r="C369" s="20"/>
      <c r="Q369" s="1"/>
    </row>
    <row r="370" spans="3:17">
      <c r="C370" s="20"/>
      <c r="Q370" s="1"/>
    </row>
    <row r="371" spans="3:17">
      <c r="C371" s="20"/>
      <c r="Q371" s="1"/>
    </row>
    <row r="372" spans="3:17">
      <c r="C372" s="20"/>
      <c r="Q372" s="1"/>
    </row>
    <row r="373" spans="3:17">
      <c r="C373" s="20"/>
      <c r="Q373" s="1"/>
    </row>
    <row r="374" spans="3:17">
      <c r="C374" s="20"/>
      <c r="Q374" s="1"/>
    </row>
    <row r="375" spans="3:17">
      <c r="C375" s="20"/>
      <c r="Q375" s="1"/>
    </row>
    <row r="376" spans="3:17">
      <c r="C376" s="20"/>
      <c r="Q376" s="1"/>
    </row>
    <row r="377" spans="3:17">
      <c r="C377" s="20"/>
      <c r="Q377" s="1"/>
    </row>
    <row r="378" spans="3:17">
      <c r="C378" s="20"/>
      <c r="Q378" s="1"/>
    </row>
    <row r="379" spans="3:17">
      <c r="C379" s="20"/>
      <c r="Q379" s="1"/>
    </row>
    <row r="380" spans="3:17">
      <c r="C380" s="20"/>
      <c r="Q380" s="1"/>
    </row>
    <row r="381" spans="3:17">
      <c r="C381" s="20"/>
      <c r="Q381" s="1"/>
    </row>
    <row r="382" spans="3:17">
      <c r="C382" s="20"/>
      <c r="Q382" s="1"/>
    </row>
    <row r="383" spans="3:17">
      <c r="C383" s="20"/>
      <c r="Q383" s="1"/>
    </row>
    <row r="384" spans="3:17">
      <c r="C384" s="20"/>
      <c r="Q384" s="1"/>
    </row>
    <row r="385" spans="3:17">
      <c r="C385" s="20"/>
      <c r="Q385" s="1"/>
    </row>
    <row r="386" spans="3:17">
      <c r="C386" s="20"/>
      <c r="Q386" s="1"/>
    </row>
    <row r="387" spans="3:17">
      <c r="C387" s="20"/>
      <c r="Q387" s="1"/>
    </row>
    <row r="388" spans="3:17">
      <c r="C388" s="20"/>
      <c r="Q388" s="1"/>
    </row>
    <row r="389" spans="3:17">
      <c r="C389" s="20"/>
      <c r="Q389" s="1"/>
    </row>
    <row r="390" spans="3:17">
      <c r="C390" s="20"/>
      <c r="Q390" s="1"/>
    </row>
    <row r="391" spans="3:17">
      <c r="C391" s="20"/>
      <c r="Q391" s="1"/>
    </row>
    <row r="392" spans="3:17">
      <c r="C392" s="20"/>
      <c r="Q392" s="1"/>
    </row>
    <row r="393" spans="3:17">
      <c r="C393" s="20"/>
      <c r="Q393" s="1"/>
    </row>
    <row r="394" spans="3:17">
      <c r="C394" s="20"/>
      <c r="Q394" s="1"/>
    </row>
    <row r="395" spans="3:17">
      <c r="C395" s="20"/>
      <c r="Q395" s="1"/>
    </row>
    <row r="396" spans="3:17">
      <c r="C396" s="20"/>
      <c r="Q396" s="1"/>
    </row>
    <row r="397" spans="3:17">
      <c r="C397" s="20"/>
      <c r="Q397" s="1"/>
    </row>
    <row r="398" spans="3:17">
      <c r="C398" s="20"/>
      <c r="Q398" s="1"/>
    </row>
    <row r="399" spans="3:17">
      <c r="C399" s="20"/>
      <c r="Q399" s="1"/>
    </row>
    <row r="400" spans="3:17">
      <c r="C400" s="20"/>
      <c r="Q400" s="1"/>
    </row>
    <row r="401" spans="3:17">
      <c r="C401" s="20"/>
      <c r="Q401" s="1"/>
    </row>
    <row r="402" spans="3:17">
      <c r="C402" s="20"/>
      <c r="Q402" s="1"/>
    </row>
    <row r="403" spans="3:17">
      <c r="C403" s="20"/>
      <c r="Q403" s="1"/>
    </row>
    <row r="404" spans="3:17">
      <c r="C404" s="20"/>
      <c r="Q404" s="1"/>
    </row>
    <row r="405" spans="3:17">
      <c r="C405" s="20"/>
      <c r="Q405" s="1"/>
    </row>
    <row r="406" spans="3:17">
      <c r="C406" s="20"/>
      <c r="Q406" s="1"/>
    </row>
    <row r="407" spans="3:17">
      <c r="C407" s="20"/>
      <c r="Q407" s="1"/>
    </row>
    <row r="408" spans="3:17">
      <c r="C408" s="20"/>
      <c r="Q408" s="1"/>
    </row>
    <row r="409" spans="3:17">
      <c r="C409" s="20"/>
      <c r="Q409" s="1"/>
    </row>
    <row r="410" spans="3:17">
      <c r="C410" s="20"/>
      <c r="Q410" s="1"/>
    </row>
    <row r="411" spans="3:17">
      <c r="C411" s="20"/>
      <c r="Q411" s="1"/>
    </row>
    <row r="412" spans="3:17">
      <c r="C412" s="20"/>
      <c r="Q412" s="1"/>
    </row>
    <row r="413" spans="3:17">
      <c r="C413" s="20"/>
      <c r="Q413" s="1"/>
    </row>
    <row r="414" spans="3:17">
      <c r="C414" s="20"/>
      <c r="Q414" s="1"/>
    </row>
    <row r="415" spans="3:17">
      <c r="C415" s="20"/>
      <c r="Q415" s="1"/>
    </row>
    <row r="416" spans="3:17">
      <c r="C416" s="20"/>
      <c r="Q416" s="1"/>
    </row>
    <row r="417" spans="3:17">
      <c r="C417" s="20"/>
      <c r="Q417" s="1"/>
    </row>
    <row r="418" spans="3:17">
      <c r="C418" s="20"/>
      <c r="Q418" s="1"/>
    </row>
    <row r="419" spans="3:17">
      <c r="C419" s="20"/>
      <c r="Q419" s="1"/>
    </row>
    <row r="420" spans="3:17">
      <c r="C420" s="20"/>
      <c r="Q420" s="1"/>
    </row>
    <row r="421" spans="3:17">
      <c r="C421" s="20"/>
      <c r="Q421" s="1"/>
    </row>
    <row r="422" spans="3:17">
      <c r="C422" s="20"/>
      <c r="Q422" s="1"/>
    </row>
    <row r="423" spans="3:17">
      <c r="C423" s="20"/>
      <c r="Q423" s="1"/>
    </row>
    <row r="424" spans="3:17">
      <c r="C424" s="20"/>
      <c r="Q424" s="1"/>
    </row>
    <row r="425" spans="3:17">
      <c r="C425" s="20"/>
      <c r="Q425" s="1"/>
    </row>
    <row r="426" spans="3:17">
      <c r="C426" s="20"/>
      <c r="Q426" s="1"/>
    </row>
    <row r="427" spans="3:17">
      <c r="C427" s="20"/>
      <c r="Q427" s="1"/>
    </row>
    <row r="428" spans="3:17">
      <c r="C428" s="20"/>
      <c r="Q428" s="1"/>
    </row>
    <row r="429" spans="3:17">
      <c r="C429" s="20"/>
      <c r="Q429" s="1"/>
    </row>
    <row r="430" spans="3:17">
      <c r="C430" s="20"/>
      <c r="Q430" s="1"/>
    </row>
    <row r="431" spans="3:17">
      <c r="C431" s="20"/>
      <c r="Q431" s="1"/>
    </row>
    <row r="432" spans="3:17">
      <c r="C432" s="20"/>
      <c r="Q432" s="1"/>
    </row>
    <row r="433" spans="3:17">
      <c r="C433" s="20"/>
      <c r="Q433" s="1"/>
    </row>
    <row r="434" spans="3:17">
      <c r="C434" s="20"/>
      <c r="Q434" s="1"/>
    </row>
    <row r="435" spans="3:17">
      <c r="C435" s="20"/>
      <c r="Q435" s="1"/>
    </row>
    <row r="436" spans="3:17">
      <c r="C436" s="20"/>
      <c r="Q436" s="1"/>
    </row>
    <row r="437" spans="3:17">
      <c r="C437" s="20"/>
      <c r="Q437" s="1"/>
    </row>
    <row r="438" spans="3:17">
      <c r="C438" s="20"/>
      <c r="Q438" s="1"/>
    </row>
    <row r="439" spans="3:17">
      <c r="C439" s="20"/>
      <c r="Q439" s="1"/>
    </row>
    <row r="440" spans="3:17">
      <c r="C440" s="20"/>
      <c r="Q440" s="1"/>
    </row>
    <row r="441" spans="3:17">
      <c r="C441" s="20"/>
      <c r="Q441" s="1"/>
    </row>
    <row r="442" spans="3:17">
      <c r="C442" s="20"/>
      <c r="Q442" s="1"/>
    </row>
    <row r="443" spans="3:17">
      <c r="C443" s="20"/>
      <c r="Q443" s="1"/>
    </row>
    <row r="444" spans="3:17">
      <c r="C444" s="20"/>
      <c r="Q444" s="1"/>
    </row>
    <row r="445" spans="3:17">
      <c r="C445" s="20"/>
      <c r="Q445" s="1"/>
    </row>
    <row r="446" spans="3:17">
      <c r="C446" s="20"/>
      <c r="Q446" s="1"/>
    </row>
    <row r="447" spans="3:17">
      <c r="C447" s="20"/>
      <c r="Q447" s="1"/>
    </row>
    <row r="448" spans="3:17">
      <c r="C448" s="20"/>
      <c r="Q448" s="1"/>
    </row>
    <row r="449" spans="3:17">
      <c r="C449" s="20"/>
      <c r="Q449" s="1"/>
    </row>
    <row r="450" spans="3:17">
      <c r="C450" s="20"/>
      <c r="Q450" s="1"/>
    </row>
    <row r="451" spans="3:17">
      <c r="C451" s="20"/>
      <c r="Q451" s="1"/>
    </row>
    <row r="452" spans="3:17">
      <c r="C452" s="20"/>
      <c r="Q452" s="1"/>
    </row>
    <row r="453" spans="3:17">
      <c r="C453" s="20"/>
      <c r="Q453" s="1"/>
    </row>
    <row r="454" spans="3:17">
      <c r="C454" s="20"/>
      <c r="Q454" s="1"/>
    </row>
    <row r="455" spans="3:17">
      <c r="C455" s="20"/>
      <c r="Q455" s="1"/>
    </row>
    <row r="456" spans="3:17">
      <c r="C456" s="20"/>
      <c r="Q456" s="1"/>
    </row>
    <row r="457" spans="3:17">
      <c r="C457" s="20"/>
      <c r="Q457" s="1"/>
    </row>
    <row r="458" spans="3:17">
      <c r="C458" s="20"/>
      <c r="Q458" s="1"/>
    </row>
    <row r="459" spans="3:17">
      <c r="C459" s="20"/>
      <c r="Q459" s="1"/>
    </row>
    <row r="460" spans="3:17">
      <c r="C460" s="20"/>
      <c r="Q460" s="1"/>
    </row>
    <row r="461" spans="3:17">
      <c r="C461" s="20"/>
      <c r="Q461" s="1"/>
    </row>
    <row r="462" spans="3:17">
      <c r="C462" s="20"/>
      <c r="Q462" s="1"/>
    </row>
    <row r="463" spans="3:17">
      <c r="C463" s="20"/>
      <c r="Q463" s="1"/>
    </row>
    <row r="464" spans="3:17">
      <c r="C464" s="20"/>
      <c r="Q464" s="1"/>
    </row>
    <row r="465" spans="3:17">
      <c r="C465" s="20"/>
      <c r="Q465" s="1"/>
    </row>
    <row r="466" spans="3:17">
      <c r="C466" s="20"/>
      <c r="Q466" s="1"/>
    </row>
    <row r="467" spans="3:17">
      <c r="C467" s="20"/>
      <c r="Q467" s="1"/>
    </row>
    <row r="468" spans="3:17">
      <c r="C468" s="20"/>
      <c r="Q468" s="1"/>
    </row>
    <row r="469" spans="3:17">
      <c r="C469" s="20"/>
      <c r="Q469" s="1"/>
    </row>
    <row r="470" spans="3:17">
      <c r="C470" s="20"/>
      <c r="Q470" s="1"/>
    </row>
    <row r="471" spans="3:17">
      <c r="C471" s="20"/>
      <c r="Q471" s="1"/>
    </row>
    <row r="472" spans="3:17">
      <c r="C472" s="20"/>
      <c r="Q472" s="1"/>
    </row>
    <row r="473" spans="3:17">
      <c r="C473" s="20"/>
      <c r="Q473" s="1"/>
    </row>
    <row r="474" spans="3:17">
      <c r="C474" s="20"/>
      <c r="Q474" s="1"/>
    </row>
    <row r="475" spans="3:17">
      <c r="C475" s="20"/>
      <c r="Q475" s="1"/>
    </row>
    <row r="476" spans="3:17">
      <c r="C476" s="20"/>
      <c r="Q476" s="1"/>
    </row>
    <row r="477" spans="3:17">
      <c r="C477" s="20"/>
      <c r="Q477" s="1"/>
    </row>
    <row r="478" spans="3:17">
      <c r="C478" s="20"/>
      <c r="Q478" s="1"/>
    </row>
    <row r="479" spans="3:17">
      <c r="C479" s="20"/>
      <c r="Q479" s="1"/>
    </row>
    <row r="480" spans="3:17">
      <c r="C480" s="20"/>
      <c r="Q480" s="1"/>
    </row>
    <row r="481" spans="3:17">
      <c r="C481" s="20"/>
      <c r="Q481" s="1"/>
    </row>
    <row r="482" spans="3:17">
      <c r="C482" s="20"/>
      <c r="Q482" s="1"/>
    </row>
    <row r="483" spans="3:17">
      <c r="C483" s="20"/>
      <c r="Q483" s="1"/>
    </row>
    <row r="484" spans="3:17">
      <c r="C484" s="20"/>
      <c r="Q484" s="1"/>
    </row>
    <row r="485" spans="3:17">
      <c r="C485" s="20"/>
      <c r="Q485" s="1"/>
    </row>
    <row r="486" spans="3:17">
      <c r="C486" s="20"/>
      <c r="Q486" s="1"/>
    </row>
    <row r="487" spans="3:17">
      <c r="C487" s="20"/>
      <c r="Q487" s="1"/>
    </row>
    <row r="488" spans="3:17">
      <c r="C488" s="20"/>
      <c r="Q488" s="1"/>
    </row>
    <row r="489" spans="3:17">
      <c r="C489" s="20"/>
      <c r="Q489" s="1"/>
    </row>
    <row r="490" spans="3:17">
      <c r="C490" s="20"/>
      <c r="Q490" s="1"/>
    </row>
    <row r="491" spans="3:17">
      <c r="C491" s="20"/>
      <c r="Q491" s="1"/>
    </row>
    <row r="492" spans="3:17">
      <c r="C492" s="20"/>
      <c r="Q492" s="1"/>
    </row>
    <row r="493" spans="3:17">
      <c r="C493" s="20"/>
      <c r="Q493" s="1"/>
    </row>
    <row r="494" spans="3:17">
      <c r="C494" s="20"/>
      <c r="Q494" s="1"/>
    </row>
    <row r="495" spans="3:17">
      <c r="C495" s="20"/>
      <c r="Q495" s="1"/>
    </row>
    <row r="496" spans="3:17">
      <c r="C496" s="20"/>
      <c r="Q496" s="1"/>
    </row>
    <row r="497" spans="3:17">
      <c r="C497" s="20"/>
      <c r="Q497" s="1"/>
    </row>
    <row r="498" spans="3:17">
      <c r="C498" s="20"/>
      <c r="Q498" s="1"/>
    </row>
    <row r="499" spans="3:17">
      <c r="C499" s="20"/>
      <c r="Q499" s="1"/>
    </row>
    <row r="500" spans="3:17">
      <c r="C500" s="20"/>
      <c r="Q500" s="1"/>
    </row>
    <row r="501" spans="3:17">
      <c r="C501" s="20"/>
      <c r="Q501" s="1"/>
    </row>
    <row r="502" spans="3:17">
      <c r="C502" s="20"/>
      <c r="Q502" s="1"/>
    </row>
    <row r="503" spans="3:17">
      <c r="C503" s="20"/>
      <c r="Q503" s="1"/>
    </row>
    <row r="504" spans="3:17">
      <c r="C504" s="20"/>
      <c r="Q504" s="1"/>
    </row>
    <row r="505" spans="3:17">
      <c r="C505" s="20"/>
      <c r="Q505" s="1"/>
    </row>
    <row r="506" spans="3:17">
      <c r="C506" s="20"/>
      <c r="Q506" s="1"/>
    </row>
    <row r="507" spans="3:17">
      <c r="C507" s="20"/>
      <c r="Q507" s="1"/>
    </row>
    <row r="508" spans="3:17">
      <c r="C508" s="20"/>
      <c r="Q508" s="1"/>
    </row>
    <row r="509" spans="3:17">
      <c r="C509" s="20"/>
      <c r="Q509" s="1"/>
    </row>
    <row r="510" spans="3:17">
      <c r="C510" s="20"/>
      <c r="Q510" s="1"/>
    </row>
    <row r="511" spans="3:17">
      <c r="C511" s="20"/>
      <c r="Q511" s="1"/>
    </row>
    <row r="512" spans="3:17">
      <c r="C512" s="20"/>
      <c r="Q512" s="1"/>
    </row>
    <row r="513" spans="17:17">
      <c r="Q513" s="1"/>
    </row>
    <row r="514" spans="17:17">
      <c r="Q514" s="1"/>
    </row>
    <row r="515" spans="17:17">
      <c r="Q515" s="1"/>
    </row>
    <row r="516" spans="17:17">
      <c r="Q516" s="1"/>
    </row>
    <row r="517" spans="17:17">
      <c r="Q517" s="1"/>
    </row>
    <row r="518" spans="17:17">
      <c r="Q518" s="1"/>
    </row>
  </sheetData>
  <phoneticPr fontId="0" type="noConversion"/>
  <conditionalFormatting sqref="M11:M15">
    <cfRule type="cellIs" dxfId="16" priority="1" stopIfTrue="1" operator="notEqual">
      <formula>$AT11</formula>
    </cfRule>
  </conditionalFormatting>
  <printOptions verticalCentered="1"/>
  <pageMargins left="0.59055118110236227" right="0.59055118110236227" top="0.78740157480314965" bottom="0.78740157480314965" header="0.39370078740157483" footer="0.39370078740157483"/>
  <pageSetup paperSize="9" scale="70" fitToHeight="2" orientation="portrait" horizontalDpi="4294967293" verticalDpi="300" r:id="rId1"/>
  <headerFooter alignWithMargins="0">
    <oddHeader>&amp;F</oddHeader>
    <oddFooter>&amp;L&amp;"Times New Roman,Bold"&amp;8&amp;A, &amp;F&amp;C&amp;"Times New Roman,Bold"&amp;8&amp;P of &amp;N&amp;R&amp;"Times New Roman,Bold"&amp;8Printed 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2"/>
  <sheetViews>
    <sheetView zoomScaleNormal="100" workbookViewId="0">
      <selection activeCell="I24" sqref="I24"/>
    </sheetView>
  </sheetViews>
  <sheetFormatPr defaultRowHeight="12.75"/>
  <cols>
    <col min="1" max="1" width="10" style="1" bestFit="1" customWidth="1"/>
    <col min="2" max="2" width="9.140625" style="19"/>
    <col min="3" max="3" width="7.85546875" style="18" customWidth="1"/>
    <col min="4" max="4" width="36" style="1" bestFit="1" customWidth="1"/>
    <col min="5" max="6" width="10.7109375" style="16" customWidth="1"/>
    <col min="7" max="7" width="12.28515625" style="16" bestFit="1" customWidth="1"/>
    <col min="8" max="8" width="4.7109375" style="1" customWidth="1"/>
    <col min="9" max="9" width="11.85546875" style="1" customWidth="1"/>
    <col min="10" max="11" width="9.140625" style="1"/>
    <col min="12" max="12" width="9.7109375" style="1" customWidth="1"/>
    <col min="13" max="16" width="9.140625" style="1"/>
    <col min="18" max="16384" width="9.140625" style="1"/>
  </cols>
  <sheetData>
    <row r="1" spans="1:13" s="8" customFormat="1" ht="15.75">
      <c r="A1" s="8" t="s">
        <v>11</v>
      </c>
      <c r="B1" s="9" t="s">
        <v>0</v>
      </c>
      <c r="C1" s="10"/>
      <c r="D1" s="11" t="s">
        <v>1</v>
      </c>
      <c r="E1" s="12" t="s">
        <v>2</v>
      </c>
      <c r="F1" s="12" t="s">
        <v>3</v>
      </c>
      <c r="G1" s="12" t="s">
        <v>6</v>
      </c>
    </row>
    <row r="2" spans="1:13">
      <c r="B2" s="13"/>
      <c r="C2" s="14"/>
      <c r="E2" s="98"/>
      <c r="F2" s="98"/>
    </row>
    <row r="3" spans="1:13">
      <c r="A3" s="47"/>
      <c r="B3" s="17"/>
      <c r="C3" s="41"/>
      <c r="J3" s="25"/>
      <c r="L3" s="25"/>
      <c r="M3" s="25"/>
    </row>
    <row r="4" spans="1:13">
      <c r="A4" s="47"/>
      <c r="B4" s="13"/>
      <c r="C4" s="14"/>
      <c r="D4" s="2" t="str">
        <f>"Opening Balance 1st April " &amp; Year_value</f>
        <v>Opening Balance 1st April 2012</v>
      </c>
      <c r="E4" s="98"/>
      <c r="F4" s="98"/>
      <c r="G4" s="98">
        <v>0</v>
      </c>
    </row>
    <row r="5" spans="1:13">
      <c r="A5" s="47"/>
      <c r="B5" s="13"/>
      <c r="C5" s="14"/>
      <c r="D5" s="2"/>
      <c r="E5" s="98"/>
      <c r="F5" s="98"/>
    </row>
    <row r="6" spans="1:13">
      <c r="A6" s="47" t="s">
        <v>172</v>
      </c>
      <c r="B6" s="17">
        <v>41141</v>
      </c>
      <c r="C6" s="41" t="s">
        <v>187</v>
      </c>
      <c r="D6" s="38" t="s">
        <v>227</v>
      </c>
      <c r="E6" s="16">
        <v>0</v>
      </c>
      <c r="F6" s="16">
        <v>25000</v>
      </c>
      <c r="G6" s="16">
        <f>G4-E6+F6</f>
        <v>25000</v>
      </c>
      <c r="J6" s="1" t="e">
        <f t="shared" ref="J6:J10" si="0">IF(VLOOKUP(C6,Transaction_Number,1,FALSE)=C6,"Entered","Error")</f>
        <v>#N/A</v>
      </c>
      <c r="M6" s="16"/>
    </row>
    <row r="7" spans="1:13">
      <c r="A7" s="47" t="s">
        <v>172</v>
      </c>
      <c r="B7" s="17">
        <v>41151</v>
      </c>
      <c r="C7" s="41"/>
      <c r="D7" s="38" t="s">
        <v>276</v>
      </c>
      <c r="F7" s="16">
        <v>0.48</v>
      </c>
      <c r="G7" s="16">
        <f>G6-E7+F7</f>
        <v>25000.48</v>
      </c>
      <c r="J7" s="1" t="e">
        <f t="shared" si="0"/>
        <v>#N/A</v>
      </c>
    </row>
    <row r="8" spans="1:13">
      <c r="A8" s="47" t="s">
        <v>172</v>
      </c>
      <c r="B8" s="17">
        <v>41182</v>
      </c>
      <c r="C8" s="41"/>
      <c r="D8" s="38" t="s">
        <v>276</v>
      </c>
      <c r="F8" s="16">
        <v>1.49</v>
      </c>
      <c r="G8" s="16">
        <f t="shared" ref="G8:G12" si="1">G7-E8+F8</f>
        <v>25001.97</v>
      </c>
      <c r="J8" s="1" t="e">
        <f t="shared" si="0"/>
        <v>#N/A</v>
      </c>
    </row>
    <row r="9" spans="1:13">
      <c r="A9" s="47" t="s">
        <v>172</v>
      </c>
      <c r="B9" s="17">
        <v>41212</v>
      </c>
      <c r="C9" s="41"/>
      <c r="D9" s="38" t="s">
        <v>276</v>
      </c>
      <c r="F9" s="16">
        <v>1.44</v>
      </c>
      <c r="G9" s="16">
        <f t="shared" si="1"/>
        <v>25003.41</v>
      </c>
      <c r="J9" s="1" t="e">
        <f t="shared" si="0"/>
        <v>#N/A</v>
      </c>
    </row>
    <row r="10" spans="1:13">
      <c r="A10" s="47"/>
      <c r="B10" s="17"/>
      <c r="C10" s="41"/>
      <c r="D10" s="38"/>
      <c r="G10" s="16">
        <f t="shared" si="1"/>
        <v>25003.41</v>
      </c>
      <c r="J10" s="1" t="e">
        <f t="shared" si="0"/>
        <v>#N/A</v>
      </c>
    </row>
    <row r="11" spans="1:13">
      <c r="A11" s="47"/>
      <c r="B11" s="17"/>
      <c r="C11" s="41"/>
      <c r="D11" s="38"/>
      <c r="G11" s="16">
        <f t="shared" si="1"/>
        <v>25003.41</v>
      </c>
      <c r="J11" s="1" t="e">
        <f>IF(VLOOKUP(C11,Transaction_Number,1,FALSE)=C11,"Entered","Error")</f>
        <v>#N/A</v>
      </c>
    </row>
    <row r="12" spans="1:13">
      <c r="A12" s="47"/>
      <c r="B12" s="17"/>
      <c r="C12" s="41"/>
      <c r="D12" s="38"/>
      <c r="G12" s="16">
        <f t="shared" si="1"/>
        <v>25003.41</v>
      </c>
      <c r="J12" s="1" t="e">
        <f>IF(VLOOKUP(C12,Transaction_Number,1,FALSE)=C12,"Entered","Error")</f>
        <v>#N/A</v>
      </c>
    </row>
    <row r="13" spans="1:13">
      <c r="A13" s="47"/>
      <c r="B13" s="17"/>
      <c r="C13" s="41"/>
      <c r="G13" s="16">
        <f t="shared" ref="G13:G16" ca="1" si="2">OFFSET(G13,-1,0)-E13+F13</f>
        <v>25003.41</v>
      </c>
      <c r="J13" s="1" t="e">
        <f t="shared" ref="J13:J16" si="3">IF(VLOOKUP(C13,Transaction_Number,1,FALSE)=C13,"Entered","Error")</f>
        <v>#N/A</v>
      </c>
    </row>
    <row r="14" spans="1:13">
      <c r="A14" s="47"/>
      <c r="B14" s="17"/>
      <c r="C14" s="41"/>
      <c r="G14" s="16">
        <f t="shared" ca="1" si="2"/>
        <v>25003.41</v>
      </c>
      <c r="J14" s="1" t="e">
        <f t="shared" si="3"/>
        <v>#N/A</v>
      </c>
    </row>
    <row r="15" spans="1:13">
      <c r="A15" s="47"/>
      <c r="B15" s="17"/>
      <c r="C15" s="41"/>
      <c r="G15" s="16">
        <f t="shared" ca="1" si="2"/>
        <v>25003.41</v>
      </c>
      <c r="J15" s="1" t="e">
        <f t="shared" si="3"/>
        <v>#N/A</v>
      </c>
    </row>
    <row r="16" spans="1:13">
      <c r="A16" s="47"/>
      <c r="B16" s="17"/>
      <c r="C16" s="41"/>
      <c r="G16" s="16">
        <f t="shared" ca="1" si="2"/>
        <v>25003.41</v>
      </c>
      <c r="J16" s="1" t="e">
        <f t="shared" si="3"/>
        <v>#N/A</v>
      </c>
    </row>
    <row r="17" spans="1:17">
      <c r="A17" s="33"/>
      <c r="B17" s="34"/>
      <c r="C17" s="28"/>
      <c r="D17" s="35" t="str">
        <f>"Closing Balance at "&amp;Report_end_date</f>
        <v>Closing Balance at 31 March 2013</v>
      </c>
      <c r="E17" s="30"/>
      <c r="F17" s="30"/>
      <c r="G17" s="16">
        <f ca="1">G16</f>
        <v>25003.41</v>
      </c>
      <c r="J17" s="25"/>
      <c r="K17" s="46"/>
      <c r="L17" s="25"/>
      <c r="M17" s="25"/>
      <c r="Q17" s="1"/>
    </row>
    <row r="18" spans="1:17">
      <c r="C18" s="20"/>
      <c r="D18" s="21"/>
      <c r="Q18" s="1"/>
    </row>
    <row r="19" spans="1:17">
      <c r="C19" s="20"/>
      <c r="D19" s="21" t="s">
        <v>5</v>
      </c>
      <c r="E19" s="16">
        <f>SUM(E6:E17)</f>
        <v>0</v>
      </c>
      <c r="F19" s="16">
        <f>SUM(F6:F17)</f>
        <v>25003.41</v>
      </c>
      <c r="I19" s="43">
        <f ca="1">HSBC_closing_balance_savings+SUMIF(A3:A17,"",E3:E17)-SUMIF(A3:A17,"",F3:F17)</f>
        <v>25003.41</v>
      </c>
      <c r="J19" s="1" t="s">
        <v>69</v>
      </c>
      <c r="K19" s="44"/>
      <c r="Q19" s="1"/>
    </row>
    <row r="20" spans="1:17">
      <c r="C20" s="20"/>
      <c r="Q20" s="1"/>
    </row>
    <row r="21" spans="1:17">
      <c r="C21" s="20"/>
      <c r="F21" s="16" t="s">
        <v>23</v>
      </c>
      <c r="G21" s="16">
        <f>HSBC_opening_balance+HSBC_credit_total-HSBC_debit_totals</f>
        <v>25003.41</v>
      </c>
      <c r="I21" s="45">
        <f ca="1">I23-I19</f>
        <v>0</v>
      </c>
      <c r="J21" s="1" t="s">
        <v>68</v>
      </c>
      <c r="Q21" s="1"/>
    </row>
    <row r="22" spans="1:17">
      <c r="C22" s="20"/>
      <c r="G22" s="16">
        <f ca="1">HSBC_closing_balance-G21</f>
        <v>0</v>
      </c>
      <c r="K22" s="45"/>
      <c r="Q22" s="1"/>
    </row>
    <row r="23" spans="1:17">
      <c r="C23" s="63">
        <f>COUNTIF(C6:C16,"&gt;100000")</f>
        <v>0</v>
      </c>
      <c r="D23" s="1" t="s">
        <v>50</v>
      </c>
      <c r="F23" s="20"/>
      <c r="I23" s="45">
        <v>25003.41</v>
      </c>
      <c r="J23" s="1" t="s">
        <v>30</v>
      </c>
      <c r="Q23" s="1"/>
    </row>
    <row r="24" spans="1:17">
      <c r="C24" s="63">
        <f>COUNTIF(C6:C16,"Dep")</f>
        <v>0</v>
      </c>
      <c r="D24" s="1" t="s">
        <v>49</v>
      </c>
      <c r="Q24" s="1"/>
    </row>
    <row r="25" spans="1:17">
      <c r="C25" s="20"/>
      <c r="Q25" s="1"/>
    </row>
    <row r="26" spans="1:17">
      <c r="C26" s="20"/>
      <c r="I26" s="45"/>
      <c r="Q26" s="1"/>
    </row>
    <row r="27" spans="1:17">
      <c r="C27" s="20"/>
      <c r="Q27" s="1"/>
    </row>
    <row r="28" spans="1:17">
      <c r="C28" s="20"/>
      <c r="Q28" s="1"/>
    </row>
    <row r="29" spans="1:17">
      <c r="C29" s="20"/>
      <c r="Q29" s="1"/>
    </row>
    <row r="30" spans="1:17">
      <c r="C30" s="20"/>
      <c r="Q30" s="1"/>
    </row>
    <row r="31" spans="1:17">
      <c r="C31" s="20"/>
      <c r="Q31" s="1"/>
    </row>
    <row r="32" spans="1:17">
      <c r="C32" s="20"/>
      <c r="Q32" s="1"/>
    </row>
    <row r="33" spans="3:17">
      <c r="C33" s="20"/>
      <c r="Q33" s="1"/>
    </row>
    <row r="34" spans="3:17">
      <c r="C34" s="20"/>
      <c r="Q34" s="1"/>
    </row>
    <row r="35" spans="3:17">
      <c r="C35" s="20"/>
      <c r="Q35" s="1"/>
    </row>
    <row r="36" spans="3:17">
      <c r="C36" s="20"/>
      <c r="Q36" s="1"/>
    </row>
    <row r="37" spans="3:17">
      <c r="C37" s="20"/>
      <c r="Q37" s="1"/>
    </row>
    <row r="38" spans="3:17">
      <c r="C38" s="20"/>
      <c r="Q38" s="1"/>
    </row>
    <row r="39" spans="3:17">
      <c r="C39" s="20"/>
      <c r="Q39" s="1"/>
    </row>
    <row r="40" spans="3:17">
      <c r="C40" s="20"/>
      <c r="Q40" s="1"/>
    </row>
    <row r="41" spans="3:17">
      <c r="C41" s="20"/>
      <c r="Q41" s="1"/>
    </row>
    <row r="42" spans="3:17">
      <c r="C42" s="20"/>
      <c r="Q42" s="1"/>
    </row>
    <row r="43" spans="3:17">
      <c r="C43" s="20"/>
      <c r="Q43" s="1"/>
    </row>
    <row r="44" spans="3:17">
      <c r="C44" s="20"/>
      <c r="Q44" s="1"/>
    </row>
    <row r="45" spans="3:17">
      <c r="C45" s="20"/>
      <c r="Q45" s="1"/>
    </row>
    <row r="46" spans="3:17">
      <c r="C46" s="20"/>
      <c r="Q46" s="1"/>
    </row>
    <row r="47" spans="3:17">
      <c r="C47" s="20"/>
      <c r="Q47" s="1"/>
    </row>
    <row r="48" spans="3:17">
      <c r="C48" s="20"/>
      <c r="Q48" s="1"/>
    </row>
    <row r="49" spans="3:17">
      <c r="C49" s="20"/>
      <c r="Q49" s="1"/>
    </row>
    <row r="50" spans="3:17">
      <c r="C50" s="20"/>
      <c r="Q50" s="1"/>
    </row>
    <row r="51" spans="3:17">
      <c r="C51" s="20"/>
      <c r="Q51" s="1"/>
    </row>
    <row r="52" spans="3:17">
      <c r="C52" s="20"/>
      <c r="Q52" s="1"/>
    </row>
    <row r="53" spans="3:17">
      <c r="C53" s="20"/>
      <c r="Q53" s="1"/>
    </row>
    <row r="54" spans="3:17">
      <c r="C54" s="20"/>
      <c r="Q54" s="1"/>
    </row>
    <row r="55" spans="3:17">
      <c r="C55" s="20"/>
      <c r="Q55" s="1"/>
    </row>
    <row r="56" spans="3:17">
      <c r="C56" s="20"/>
      <c r="Q56" s="1"/>
    </row>
    <row r="57" spans="3:17">
      <c r="C57" s="20"/>
      <c r="Q57" s="1"/>
    </row>
    <row r="58" spans="3:17">
      <c r="C58" s="20"/>
      <c r="Q58" s="1"/>
    </row>
    <row r="59" spans="3:17">
      <c r="C59" s="20"/>
      <c r="Q59" s="1"/>
    </row>
    <row r="60" spans="3:17">
      <c r="C60" s="20"/>
      <c r="Q60" s="1"/>
    </row>
    <row r="61" spans="3:17">
      <c r="C61" s="20"/>
      <c r="Q61" s="1"/>
    </row>
    <row r="62" spans="3:17">
      <c r="C62" s="20"/>
      <c r="Q62" s="1"/>
    </row>
    <row r="63" spans="3:17">
      <c r="C63" s="20"/>
      <c r="Q63" s="1"/>
    </row>
    <row r="64" spans="3:17">
      <c r="C64" s="20"/>
      <c r="Q64" s="1"/>
    </row>
    <row r="65" spans="3:17">
      <c r="C65" s="20"/>
      <c r="Q65" s="1"/>
    </row>
    <row r="66" spans="3:17">
      <c r="C66" s="20"/>
      <c r="Q66" s="1"/>
    </row>
    <row r="67" spans="3:17">
      <c r="C67" s="20"/>
      <c r="Q67" s="1"/>
    </row>
    <row r="68" spans="3:17">
      <c r="C68" s="20"/>
      <c r="Q68" s="1"/>
    </row>
    <row r="69" spans="3:17">
      <c r="C69" s="20"/>
      <c r="Q69" s="1"/>
    </row>
    <row r="70" spans="3:17">
      <c r="C70" s="20"/>
      <c r="Q70" s="1"/>
    </row>
    <row r="71" spans="3:17">
      <c r="C71" s="20"/>
      <c r="Q71" s="1"/>
    </row>
    <row r="72" spans="3:17">
      <c r="C72" s="20"/>
      <c r="Q72" s="1"/>
    </row>
    <row r="73" spans="3:17">
      <c r="C73" s="20"/>
      <c r="Q73" s="1"/>
    </row>
    <row r="74" spans="3:17">
      <c r="C74" s="20"/>
      <c r="Q74" s="1"/>
    </row>
    <row r="75" spans="3:17">
      <c r="C75" s="20"/>
      <c r="Q75" s="1"/>
    </row>
    <row r="76" spans="3:17">
      <c r="C76" s="20"/>
      <c r="Q76" s="1"/>
    </row>
    <row r="77" spans="3:17">
      <c r="C77" s="20"/>
      <c r="Q77" s="1"/>
    </row>
    <row r="78" spans="3:17">
      <c r="C78" s="20"/>
      <c r="Q78" s="1"/>
    </row>
    <row r="79" spans="3:17">
      <c r="C79" s="20"/>
      <c r="Q79" s="1"/>
    </row>
    <row r="80" spans="3:17">
      <c r="C80" s="20"/>
      <c r="Q80" s="1"/>
    </row>
    <row r="81" spans="3:17">
      <c r="C81" s="20"/>
      <c r="Q81" s="1"/>
    </row>
    <row r="82" spans="3:17">
      <c r="C82" s="20"/>
      <c r="Q82" s="1"/>
    </row>
    <row r="83" spans="3:17">
      <c r="C83" s="20"/>
      <c r="Q83" s="1"/>
    </row>
    <row r="84" spans="3:17">
      <c r="C84" s="20"/>
      <c r="Q84" s="1"/>
    </row>
    <row r="85" spans="3:17">
      <c r="C85" s="20"/>
      <c r="Q85" s="1"/>
    </row>
    <row r="86" spans="3:17">
      <c r="C86" s="20"/>
      <c r="Q86" s="1"/>
    </row>
    <row r="87" spans="3:17">
      <c r="C87" s="20"/>
      <c r="Q87" s="1"/>
    </row>
    <row r="88" spans="3:17">
      <c r="C88" s="20"/>
      <c r="Q88" s="1"/>
    </row>
    <row r="89" spans="3:17">
      <c r="C89" s="20"/>
      <c r="Q89" s="1"/>
    </row>
    <row r="90" spans="3:17">
      <c r="C90" s="20"/>
      <c r="Q90" s="1"/>
    </row>
    <row r="91" spans="3:17">
      <c r="C91" s="20"/>
      <c r="Q91" s="1"/>
    </row>
    <row r="92" spans="3:17">
      <c r="C92" s="20"/>
      <c r="Q92" s="1"/>
    </row>
    <row r="93" spans="3:17">
      <c r="C93" s="20"/>
      <c r="Q93" s="1"/>
    </row>
    <row r="94" spans="3:17">
      <c r="C94" s="20"/>
      <c r="Q94" s="1"/>
    </row>
    <row r="95" spans="3:17">
      <c r="C95" s="20"/>
      <c r="Q95" s="1"/>
    </row>
    <row r="96" spans="3:17">
      <c r="C96" s="20"/>
      <c r="Q96" s="1"/>
    </row>
    <row r="97" spans="3:17">
      <c r="C97" s="20"/>
      <c r="Q97" s="1"/>
    </row>
    <row r="98" spans="3:17">
      <c r="C98" s="20"/>
      <c r="Q98" s="1"/>
    </row>
    <row r="99" spans="3:17">
      <c r="C99" s="20"/>
      <c r="Q99" s="1"/>
    </row>
    <row r="100" spans="3:17">
      <c r="C100" s="20"/>
      <c r="Q100" s="1"/>
    </row>
    <row r="101" spans="3:17">
      <c r="C101" s="20"/>
      <c r="Q101" s="1"/>
    </row>
    <row r="102" spans="3:17">
      <c r="C102" s="20"/>
      <c r="Q102" s="1"/>
    </row>
    <row r="103" spans="3:17">
      <c r="C103" s="20"/>
      <c r="Q103" s="1"/>
    </row>
    <row r="104" spans="3:17">
      <c r="C104" s="20"/>
      <c r="Q104" s="1"/>
    </row>
    <row r="105" spans="3:17">
      <c r="C105" s="20"/>
      <c r="Q105" s="1"/>
    </row>
    <row r="106" spans="3:17">
      <c r="C106" s="20"/>
      <c r="Q106" s="1"/>
    </row>
    <row r="107" spans="3:17">
      <c r="C107" s="20"/>
      <c r="Q107" s="1"/>
    </row>
    <row r="108" spans="3:17">
      <c r="C108" s="20"/>
      <c r="Q108" s="1"/>
    </row>
    <row r="109" spans="3:17">
      <c r="C109" s="20"/>
      <c r="Q109" s="1"/>
    </row>
    <row r="110" spans="3:17">
      <c r="C110" s="20"/>
      <c r="Q110" s="1"/>
    </row>
    <row r="111" spans="3:17">
      <c r="C111" s="20"/>
      <c r="Q111" s="1"/>
    </row>
    <row r="112" spans="3:17">
      <c r="C112" s="20"/>
      <c r="Q112" s="1"/>
    </row>
    <row r="113" spans="3:17">
      <c r="C113" s="20"/>
      <c r="Q113" s="1"/>
    </row>
    <row r="114" spans="3:17">
      <c r="C114" s="20"/>
      <c r="Q114" s="1"/>
    </row>
    <row r="115" spans="3:17">
      <c r="C115" s="20"/>
      <c r="Q115" s="1"/>
    </row>
    <row r="116" spans="3:17">
      <c r="C116" s="20"/>
      <c r="Q116" s="1"/>
    </row>
    <row r="117" spans="3:17">
      <c r="C117" s="20"/>
      <c r="Q117" s="1"/>
    </row>
    <row r="118" spans="3:17">
      <c r="C118" s="20"/>
      <c r="Q118" s="1"/>
    </row>
    <row r="119" spans="3:17">
      <c r="C119" s="20"/>
      <c r="Q119" s="1"/>
    </row>
    <row r="120" spans="3:17">
      <c r="C120" s="20"/>
      <c r="Q120" s="1"/>
    </row>
    <row r="121" spans="3:17">
      <c r="C121" s="20"/>
      <c r="Q121" s="1"/>
    </row>
    <row r="122" spans="3:17">
      <c r="C122" s="20"/>
      <c r="Q122" s="1"/>
    </row>
    <row r="123" spans="3:17">
      <c r="C123" s="20"/>
      <c r="Q123" s="1"/>
    </row>
    <row r="124" spans="3:17">
      <c r="C124" s="20"/>
      <c r="Q124" s="1"/>
    </row>
    <row r="125" spans="3:17">
      <c r="C125" s="20"/>
      <c r="Q125" s="1"/>
    </row>
    <row r="126" spans="3:17">
      <c r="C126" s="20"/>
      <c r="Q126" s="1"/>
    </row>
    <row r="127" spans="3:17">
      <c r="C127" s="20"/>
      <c r="Q127" s="1"/>
    </row>
    <row r="128" spans="3:17">
      <c r="C128" s="20"/>
      <c r="Q128" s="1"/>
    </row>
    <row r="129" spans="3:17">
      <c r="C129" s="20"/>
      <c r="Q129" s="1"/>
    </row>
    <row r="130" spans="3:17">
      <c r="C130" s="20"/>
      <c r="Q130" s="1"/>
    </row>
    <row r="131" spans="3:17">
      <c r="C131" s="20"/>
      <c r="Q131" s="1"/>
    </row>
    <row r="132" spans="3:17">
      <c r="C132" s="20"/>
      <c r="Q132" s="1"/>
    </row>
    <row r="133" spans="3:17">
      <c r="C133" s="20"/>
      <c r="Q133" s="1"/>
    </row>
    <row r="134" spans="3:17">
      <c r="C134" s="20"/>
      <c r="Q134" s="1"/>
    </row>
    <row r="135" spans="3:17">
      <c r="C135" s="20"/>
      <c r="Q135" s="1"/>
    </row>
    <row r="136" spans="3:17">
      <c r="C136" s="20"/>
      <c r="Q136" s="1"/>
    </row>
    <row r="137" spans="3:17">
      <c r="C137" s="20"/>
      <c r="Q137" s="1"/>
    </row>
    <row r="138" spans="3:17">
      <c r="C138" s="20"/>
      <c r="Q138" s="1"/>
    </row>
    <row r="139" spans="3:17">
      <c r="C139" s="20"/>
      <c r="Q139" s="1"/>
    </row>
    <row r="140" spans="3:17">
      <c r="C140" s="20"/>
      <c r="Q140" s="1"/>
    </row>
    <row r="141" spans="3:17">
      <c r="C141" s="20"/>
      <c r="Q141" s="1"/>
    </row>
    <row r="142" spans="3:17">
      <c r="C142" s="20"/>
      <c r="Q142" s="1"/>
    </row>
    <row r="143" spans="3:17">
      <c r="C143" s="20"/>
      <c r="Q143" s="1"/>
    </row>
    <row r="144" spans="3:17">
      <c r="C144" s="20"/>
      <c r="Q144" s="1"/>
    </row>
    <row r="145" spans="3:17">
      <c r="C145" s="20"/>
      <c r="Q145" s="1"/>
    </row>
    <row r="146" spans="3:17">
      <c r="C146" s="20"/>
      <c r="Q146" s="1"/>
    </row>
    <row r="147" spans="3:17">
      <c r="C147" s="20"/>
      <c r="Q147" s="1"/>
    </row>
    <row r="148" spans="3:17">
      <c r="C148" s="20"/>
      <c r="Q148" s="1"/>
    </row>
    <row r="149" spans="3:17">
      <c r="C149" s="20"/>
      <c r="Q149" s="1"/>
    </row>
    <row r="150" spans="3:17">
      <c r="C150" s="20"/>
      <c r="Q150" s="1"/>
    </row>
    <row r="151" spans="3:17">
      <c r="C151" s="20"/>
      <c r="Q151" s="1"/>
    </row>
    <row r="152" spans="3:17">
      <c r="C152" s="20"/>
      <c r="Q152" s="1"/>
    </row>
    <row r="153" spans="3:17">
      <c r="C153" s="20"/>
      <c r="Q153" s="1"/>
    </row>
    <row r="154" spans="3:17">
      <c r="C154" s="20"/>
      <c r="Q154" s="1"/>
    </row>
    <row r="155" spans="3:17">
      <c r="C155" s="20"/>
      <c r="Q155" s="1"/>
    </row>
    <row r="156" spans="3:17">
      <c r="C156" s="20"/>
      <c r="Q156" s="1"/>
    </row>
    <row r="157" spans="3:17">
      <c r="C157" s="20"/>
      <c r="Q157" s="1"/>
    </row>
    <row r="158" spans="3:17">
      <c r="C158" s="20"/>
      <c r="Q158" s="1"/>
    </row>
    <row r="159" spans="3:17">
      <c r="C159" s="20"/>
      <c r="Q159" s="1"/>
    </row>
    <row r="160" spans="3:17">
      <c r="C160" s="20"/>
      <c r="Q160" s="1"/>
    </row>
    <row r="161" spans="3:17">
      <c r="C161" s="20"/>
      <c r="Q161" s="1"/>
    </row>
    <row r="162" spans="3:17">
      <c r="C162" s="20"/>
      <c r="Q162" s="1"/>
    </row>
    <row r="163" spans="3:17">
      <c r="C163" s="20"/>
      <c r="Q163" s="1"/>
    </row>
    <row r="164" spans="3:17">
      <c r="C164" s="20"/>
      <c r="Q164" s="1"/>
    </row>
    <row r="165" spans="3:17">
      <c r="C165" s="20"/>
      <c r="Q165" s="1"/>
    </row>
    <row r="166" spans="3:17">
      <c r="C166" s="20"/>
      <c r="Q166" s="1"/>
    </row>
    <row r="167" spans="3:17">
      <c r="C167" s="20"/>
      <c r="Q167" s="1"/>
    </row>
    <row r="168" spans="3:17">
      <c r="C168" s="20"/>
      <c r="Q168" s="1"/>
    </row>
    <row r="169" spans="3:17">
      <c r="C169" s="20"/>
      <c r="Q169" s="1"/>
    </row>
    <row r="170" spans="3:17">
      <c r="C170" s="20"/>
      <c r="Q170" s="1"/>
    </row>
    <row r="171" spans="3:17">
      <c r="C171" s="20"/>
      <c r="Q171" s="1"/>
    </row>
    <row r="172" spans="3:17">
      <c r="C172" s="20"/>
      <c r="Q172" s="1"/>
    </row>
    <row r="173" spans="3:17">
      <c r="C173" s="20"/>
      <c r="Q173" s="1"/>
    </row>
    <row r="174" spans="3:17">
      <c r="C174" s="20"/>
      <c r="Q174" s="1"/>
    </row>
    <row r="175" spans="3:17">
      <c r="C175" s="20"/>
      <c r="Q175" s="1"/>
    </row>
    <row r="176" spans="3:17">
      <c r="C176" s="20"/>
      <c r="Q176" s="1"/>
    </row>
    <row r="177" spans="3:17">
      <c r="C177" s="20"/>
      <c r="Q177" s="1"/>
    </row>
    <row r="178" spans="3:17">
      <c r="C178" s="20"/>
      <c r="Q178" s="1"/>
    </row>
    <row r="179" spans="3:17">
      <c r="C179" s="20"/>
      <c r="Q179" s="1"/>
    </row>
    <row r="180" spans="3:17">
      <c r="C180" s="20"/>
      <c r="Q180" s="1"/>
    </row>
    <row r="181" spans="3:17">
      <c r="C181" s="20"/>
      <c r="Q181" s="1"/>
    </row>
    <row r="182" spans="3:17">
      <c r="C182" s="20"/>
      <c r="Q182" s="1"/>
    </row>
    <row r="183" spans="3:17">
      <c r="C183" s="20"/>
      <c r="Q183" s="1"/>
    </row>
    <row r="184" spans="3:17">
      <c r="C184" s="20"/>
      <c r="Q184" s="1"/>
    </row>
    <row r="185" spans="3:17">
      <c r="C185" s="20"/>
      <c r="Q185" s="1"/>
    </row>
    <row r="186" spans="3:17">
      <c r="C186" s="20"/>
      <c r="Q186" s="1"/>
    </row>
    <row r="187" spans="3:17">
      <c r="C187" s="20"/>
      <c r="Q187" s="1"/>
    </row>
    <row r="188" spans="3:17">
      <c r="C188" s="20"/>
      <c r="Q188" s="1"/>
    </row>
    <row r="189" spans="3:17">
      <c r="C189" s="20"/>
      <c r="Q189" s="1"/>
    </row>
    <row r="190" spans="3:17">
      <c r="C190" s="20"/>
      <c r="Q190" s="1"/>
    </row>
    <row r="191" spans="3:17">
      <c r="C191" s="20"/>
      <c r="Q191" s="1"/>
    </row>
    <row r="192" spans="3:17">
      <c r="C192" s="20"/>
      <c r="Q192" s="1"/>
    </row>
    <row r="193" spans="3:17">
      <c r="C193" s="20"/>
      <c r="Q193" s="1"/>
    </row>
    <row r="194" spans="3:17">
      <c r="C194" s="20"/>
      <c r="Q194" s="1"/>
    </row>
    <row r="195" spans="3:17">
      <c r="C195" s="20"/>
      <c r="Q195" s="1"/>
    </row>
    <row r="196" spans="3:17">
      <c r="C196" s="20"/>
      <c r="Q196" s="1"/>
    </row>
    <row r="197" spans="3:17">
      <c r="C197" s="20"/>
      <c r="Q197" s="1"/>
    </row>
    <row r="198" spans="3:17">
      <c r="C198" s="20"/>
      <c r="Q198" s="1"/>
    </row>
    <row r="199" spans="3:17">
      <c r="C199" s="20"/>
      <c r="Q199" s="1"/>
    </row>
    <row r="200" spans="3:17">
      <c r="C200" s="20"/>
      <c r="Q200" s="1"/>
    </row>
    <row r="201" spans="3:17">
      <c r="C201" s="20"/>
      <c r="Q201" s="1"/>
    </row>
    <row r="202" spans="3:17">
      <c r="C202" s="20"/>
      <c r="Q202" s="1"/>
    </row>
    <row r="203" spans="3:17">
      <c r="C203" s="20"/>
      <c r="Q203" s="1"/>
    </row>
    <row r="204" spans="3:17">
      <c r="C204" s="20"/>
      <c r="Q204" s="1"/>
    </row>
    <row r="205" spans="3:17">
      <c r="C205" s="20"/>
      <c r="Q205" s="1"/>
    </row>
    <row r="206" spans="3:17">
      <c r="C206" s="20"/>
      <c r="Q206" s="1"/>
    </row>
    <row r="207" spans="3:17">
      <c r="C207" s="20"/>
      <c r="Q207" s="1"/>
    </row>
    <row r="208" spans="3:17">
      <c r="C208" s="20"/>
      <c r="Q208" s="1"/>
    </row>
    <row r="209" spans="3:17">
      <c r="C209" s="20"/>
      <c r="Q209" s="1"/>
    </row>
    <row r="210" spans="3:17">
      <c r="C210" s="20"/>
      <c r="Q210" s="1"/>
    </row>
    <row r="211" spans="3:17">
      <c r="C211" s="20"/>
      <c r="Q211" s="1"/>
    </row>
    <row r="212" spans="3:17">
      <c r="C212" s="20"/>
      <c r="Q212" s="1"/>
    </row>
    <row r="213" spans="3:17">
      <c r="C213" s="20"/>
      <c r="Q213" s="1"/>
    </row>
    <row r="214" spans="3:17">
      <c r="C214" s="20"/>
      <c r="Q214" s="1"/>
    </row>
    <row r="215" spans="3:17">
      <c r="C215" s="20"/>
      <c r="Q215" s="1"/>
    </row>
    <row r="216" spans="3:17">
      <c r="C216" s="20"/>
      <c r="Q216" s="1"/>
    </row>
    <row r="217" spans="3:17">
      <c r="C217" s="20"/>
      <c r="Q217" s="1"/>
    </row>
    <row r="218" spans="3:17">
      <c r="C218" s="20"/>
      <c r="Q218" s="1"/>
    </row>
    <row r="219" spans="3:17">
      <c r="C219" s="20"/>
      <c r="Q219" s="1"/>
    </row>
    <row r="220" spans="3:17">
      <c r="C220" s="20"/>
      <c r="Q220" s="1"/>
    </row>
    <row r="221" spans="3:17">
      <c r="C221" s="20"/>
      <c r="Q221" s="1"/>
    </row>
    <row r="222" spans="3:17">
      <c r="C222" s="20"/>
      <c r="Q222" s="1"/>
    </row>
    <row r="223" spans="3:17">
      <c r="C223" s="20"/>
      <c r="Q223" s="1"/>
    </row>
    <row r="224" spans="3:17">
      <c r="C224" s="20"/>
      <c r="Q224" s="1"/>
    </row>
    <row r="225" spans="3:17">
      <c r="C225" s="20"/>
      <c r="Q225" s="1"/>
    </row>
    <row r="226" spans="3:17">
      <c r="C226" s="20"/>
      <c r="Q226" s="1"/>
    </row>
    <row r="227" spans="3:17">
      <c r="C227" s="20"/>
      <c r="Q227" s="1"/>
    </row>
    <row r="228" spans="3:17">
      <c r="C228" s="20"/>
      <c r="Q228" s="1"/>
    </row>
    <row r="229" spans="3:17">
      <c r="C229" s="20"/>
      <c r="Q229" s="1"/>
    </row>
    <row r="230" spans="3:17">
      <c r="C230" s="20"/>
      <c r="Q230" s="1"/>
    </row>
    <row r="231" spans="3:17">
      <c r="C231" s="20"/>
      <c r="Q231" s="1"/>
    </row>
    <row r="232" spans="3:17">
      <c r="C232" s="20"/>
      <c r="Q232" s="1"/>
    </row>
    <row r="233" spans="3:17">
      <c r="C233" s="20"/>
      <c r="Q233" s="1"/>
    </row>
    <row r="234" spans="3:17">
      <c r="C234" s="20"/>
      <c r="Q234" s="1"/>
    </row>
    <row r="235" spans="3:17">
      <c r="C235" s="20"/>
      <c r="Q235" s="1"/>
    </row>
    <row r="236" spans="3:17">
      <c r="C236" s="20"/>
      <c r="Q236" s="1"/>
    </row>
    <row r="237" spans="3:17">
      <c r="C237" s="20"/>
      <c r="Q237" s="1"/>
    </row>
    <row r="238" spans="3:17">
      <c r="C238" s="20"/>
      <c r="Q238" s="1"/>
    </row>
    <row r="239" spans="3:17">
      <c r="C239" s="20"/>
      <c r="Q239" s="1"/>
    </row>
    <row r="240" spans="3:17">
      <c r="C240" s="20"/>
      <c r="Q240" s="1"/>
    </row>
    <row r="241" spans="3:17">
      <c r="C241" s="20"/>
      <c r="Q241" s="1"/>
    </row>
    <row r="242" spans="3:17">
      <c r="C242" s="20"/>
      <c r="Q242" s="1"/>
    </row>
    <row r="243" spans="3:17">
      <c r="C243" s="20"/>
      <c r="Q243" s="1"/>
    </row>
    <row r="244" spans="3:17">
      <c r="C244" s="20"/>
      <c r="Q244" s="1"/>
    </row>
    <row r="245" spans="3:17">
      <c r="C245" s="20"/>
      <c r="Q245" s="1"/>
    </row>
    <row r="246" spans="3:17">
      <c r="C246" s="20"/>
      <c r="Q246" s="1"/>
    </row>
    <row r="247" spans="3:17">
      <c r="C247" s="20"/>
      <c r="Q247" s="1"/>
    </row>
    <row r="248" spans="3:17">
      <c r="C248" s="20"/>
      <c r="Q248" s="1"/>
    </row>
    <row r="249" spans="3:17">
      <c r="C249" s="20"/>
      <c r="Q249" s="1"/>
    </row>
    <row r="250" spans="3:17">
      <c r="C250" s="20"/>
      <c r="Q250" s="1"/>
    </row>
    <row r="251" spans="3:17">
      <c r="C251" s="20"/>
      <c r="Q251" s="1"/>
    </row>
    <row r="252" spans="3:17">
      <c r="C252" s="20"/>
      <c r="Q252" s="1"/>
    </row>
    <row r="253" spans="3:17">
      <c r="C253" s="20"/>
      <c r="Q253" s="1"/>
    </row>
    <row r="254" spans="3:17">
      <c r="C254" s="20"/>
      <c r="Q254" s="1"/>
    </row>
    <row r="255" spans="3:17">
      <c r="C255" s="20"/>
      <c r="Q255" s="1"/>
    </row>
    <row r="256" spans="3:17">
      <c r="C256" s="20"/>
      <c r="Q256" s="1"/>
    </row>
    <row r="257" spans="3:17">
      <c r="C257" s="20"/>
      <c r="Q257" s="1"/>
    </row>
    <row r="258" spans="3:17">
      <c r="C258" s="20"/>
      <c r="Q258" s="1"/>
    </row>
    <row r="259" spans="3:17">
      <c r="C259" s="20"/>
      <c r="Q259" s="1"/>
    </row>
    <row r="260" spans="3:17">
      <c r="C260" s="20"/>
      <c r="Q260" s="1"/>
    </row>
    <row r="261" spans="3:17">
      <c r="C261" s="20"/>
      <c r="Q261" s="1"/>
    </row>
    <row r="262" spans="3:17">
      <c r="C262" s="20"/>
      <c r="Q262" s="1"/>
    </row>
    <row r="263" spans="3:17">
      <c r="C263" s="20"/>
      <c r="Q263" s="1"/>
    </row>
    <row r="264" spans="3:17">
      <c r="C264" s="20"/>
      <c r="Q264" s="1"/>
    </row>
    <row r="265" spans="3:17">
      <c r="C265" s="20"/>
      <c r="Q265" s="1"/>
    </row>
    <row r="266" spans="3:17">
      <c r="C266" s="20"/>
      <c r="Q266" s="1"/>
    </row>
    <row r="267" spans="3:17">
      <c r="C267" s="20"/>
      <c r="Q267" s="1"/>
    </row>
    <row r="268" spans="3:17">
      <c r="C268" s="20"/>
      <c r="Q268" s="1"/>
    </row>
    <row r="269" spans="3:17">
      <c r="C269" s="20"/>
      <c r="Q269" s="1"/>
    </row>
    <row r="270" spans="3:17">
      <c r="C270" s="20"/>
      <c r="Q270" s="1"/>
    </row>
    <row r="271" spans="3:17">
      <c r="C271" s="20"/>
      <c r="Q271" s="1"/>
    </row>
    <row r="272" spans="3:17">
      <c r="C272" s="20"/>
      <c r="Q272" s="1"/>
    </row>
    <row r="273" spans="3:17">
      <c r="C273" s="20"/>
      <c r="Q273" s="1"/>
    </row>
    <row r="274" spans="3:17">
      <c r="C274" s="20"/>
      <c r="Q274" s="1"/>
    </row>
    <row r="275" spans="3:17">
      <c r="C275" s="20"/>
      <c r="Q275" s="1"/>
    </row>
    <row r="276" spans="3:17">
      <c r="C276" s="20"/>
      <c r="Q276" s="1"/>
    </row>
    <row r="277" spans="3:17">
      <c r="C277" s="20"/>
      <c r="Q277" s="1"/>
    </row>
    <row r="278" spans="3:17">
      <c r="C278" s="20"/>
      <c r="Q278" s="1"/>
    </row>
    <row r="279" spans="3:17">
      <c r="C279" s="20"/>
      <c r="Q279" s="1"/>
    </row>
    <row r="280" spans="3:17">
      <c r="C280" s="20"/>
      <c r="Q280" s="1"/>
    </row>
    <row r="281" spans="3:17">
      <c r="C281" s="20"/>
      <c r="Q281" s="1"/>
    </row>
    <row r="282" spans="3:17">
      <c r="C282" s="20"/>
      <c r="Q282" s="1"/>
    </row>
    <row r="283" spans="3:17">
      <c r="C283" s="20"/>
      <c r="Q283" s="1"/>
    </row>
    <row r="284" spans="3:17">
      <c r="C284" s="20"/>
      <c r="Q284" s="1"/>
    </row>
    <row r="285" spans="3:17">
      <c r="C285" s="20"/>
      <c r="Q285" s="1"/>
    </row>
    <row r="286" spans="3:17">
      <c r="C286" s="20"/>
      <c r="Q286" s="1"/>
    </row>
    <row r="287" spans="3:17">
      <c r="C287" s="20"/>
      <c r="Q287" s="1"/>
    </row>
    <row r="288" spans="3:17">
      <c r="C288" s="20"/>
      <c r="Q288" s="1"/>
    </row>
    <row r="289" spans="3:17">
      <c r="C289" s="20"/>
      <c r="Q289" s="1"/>
    </row>
    <row r="290" spans="3:17">
      <c r="C290" s="20"/>
      <c r="Q290" s="1"/>
    </row>
    <row r="291" spans="3:17">
      <c r="C291" s="20"/>
      <c r="Q291" s="1"/>
    </row>
    <row r="292" spans="3:17">
      <c r="C292" s="20"/>
      <c r="Q292" s="1"/>
    </row>
    <row r="293" spans="3:17">
      <c r="C293" s="20"/>
      <c r="Q293" s="1"/>
    </row>
    <row r="294" spans="3:17">
      <c r="C294" s="20"/>
      <c r="Q294" s="1"/>
    </row>
    <row r="295" spans="3:17">
      <c r="C295" s="20"/>
      <c r="Q295" s="1"/>
    </row>
    <row r="296" spans="3:17">
      <c r="C296" s="20"/>
      <c r="Q296" s="1"/>
    </row>
    <row r="297" spans="3:17">
      <c r="C297" s="20"/>
      <c r="Q297" s="1"/>
    </row>
    <row r="298" spans="3:17">
      <c r="C298" s="20"/>
      <c r="Q298" s="1"/>
    </row>
    <row r="299" spans="3:17">
      <c r="C299" s="20"/>
      <c r="Q299" s="1"/>
    </row>
    <row r="300" spans="3:17">
      <c r="C300" s="20"/>
      <c r="Q300" s="1"/>
    </row>
    <row r="301" spans="3:17">
      <c r="C301" s="20"/>
      <c r="Q301" s="1"/>
    </row>
    <row r="302" spans="3:17">
      <c r="C302" s="20"/>
      <c r="Q302" s="1"/>
    </row>
    <row r="303" spans="3:17">
      <c r="C303" s="20"/>
      <c r="Q303" s="1"/>
    </row>
    <row r="304" spans="3:17">
      <c r="C304" s="20"/>
      <c r="Q304" s="1"/>
    </row>
    <row r="305" spans="3:17">
      <c r="C305" s="20"/>
      <c r="Q305" s="1"/>
    </row>
    <row r="306" spans="3:17">
      <c r="C306" s="20"/>
      <c r="Q306" s="1"/>
    </row>
    <row r="307" spans="3:17">
      <c r="C307" s="20"/>
      <c r="Q307" s="1"/>
    </row>
    <row r="308" spans="3:17">
      <c r="C308" s="20"/>
      <c r="Q308" s="1"/>
    </row>
    <row r="309" spans="3:17">
      <c r="C309" s="20"/>
      <c r="Q309" s="1"/>
    </row>
    <row r="310" spans="3:17">
      <c r="C310" s="20"/>
      <c r="Q310" s="1"/>
    </row>
    <row r="311" spans="3:17">
      <c r="C311" s="20"/>
      <c r="Q311" s="1"/>
    </row>
    <row r="312" spans="3:17">
      <c r="C312" s="20"/>
      <c r="Q312" s="1"/>
    </row>
    <row r="313" spans="3:17">
      <c r="C313" s="20"/>
      <c r="Q313" s="1"/>
    </row>
    <row r="314" spans="3:17">
      <c r="C314" s="20"/>
      <c r="Q314" s="1"/>
    </row>
    <row r="315" spans="3:17">
      <c r="C315" s="20"/>
      <c r="Q315" s="1"/>
    </row>
    <row r="316" spans="3:17">
      <c r="C316" s="20"/>
      <c r="Q316" s="1"/>
    </row>
    <row r="317" spans="3:17">
      <c r="C317" s="20"/>
      <c r="Q317" s="1"/>
    </row>
    <row r="318" spans="3:17">
      <c r="C318" s="20"/>
      <c r="Q318" s="1"/>
    </row>
    <row r="319" spans="3:17">
      <c r="C319" s="20"/>
      <c r="Q319" s="1"/>
    </row>
    <row r="320" spans="3:17">
      <c r="C320" s="20"/>
      <c r="Q320" s="1"/>
    </row>
    <row r="321" spans="3:17">
      <c r="C321" s="20"/>
      <c r="Q321" s="1"/>
    </row>
    <row r="322" spans="3:17">
      <c r="C322" s="20"/>
      <c r="Q322" s="1"/>
    </row>
    <row r="323" spans="3:17">
      <c r="C323" s="20"/>
      <c r="Q323" s="1"/>
    </row>
    <row r="324" spans="3:17">
      <c r="C324" s="20"/>
      <c r="Q324" s="1"/>
    </row>
    <row r="325" spans="3:17">
      <c r="C325" s="20"/>
      <c r="Q325" s="1"/>
    </row>
    <row r="326" spans="3:17">
      <c r="C326" s="20"/>
      <c r="Q326" s="1"/>
    </row>
    <row r="327" spans="3:17">
      <c r="C327" s="20"/>
      <c r="Q327" s="1"/>
    </row>
    <row r="328" spans="3:17">
      <c r="C328" s="20"/>
      <c r="Q328" s="1"/>
    </row>
    <row r="329" spans="3:17">
      <c r="C329" s="20"/>
      <c r="Q329" s="1"/>
    </row>
    <row r="330" spans="3:17">
      <c r="C330" s="20"/>
      <c r="Q330" s="1"/>
    </row>
    <row r="331" spans="3:17">
      <c r="C331" s="20"/>
      <c r="Q331" s="1"/>
    </row>
    <row r="332" spans="3:17">
      <c r="C332" s="20"/>
      <c r="Q332" s="1"/>
    </row>
    <row r="333" spans="3:17">
      <c r="C333" s="20"/>
      <c r="Q333" s="1"/>
    </row>
    <row r="334" spans="3:17">
      <c r="C334" s="20"/>
      <c r="Q334" s="1"/>
    </row>
    <row r="335" spans="3:17">
      <c r="C335" s="20"/>
      <c r="Q335" s="1"/>
    </row>
    <row r="336" spans="3:17">
      <c r="C336" s="20"/>
      <c r="Q336" s="1"/>
    </row>
    <row r="337" spans="3:17">
      <c r="C337" s="20"/>
      <c r="Q337" s="1"/>
    </row>
    <row r="338" spans="3:17">
      <c r="C338" s="20"/>
      <c r="Q338" s="1"/>
    </row>
    <row r="339" spans="3:17">
      <c r="C339" s="20"/>
      <c r="Q339" s="1"/>
    </row>
    <row r="340" spans="3:17">
      <c r="C340" s="20"/>
      <c r="Q340" s="1"/>
    </row>
    <row r="341" spans="3:17">
      <c r="C341" s="20"/>
      <c r="Q341" s="1"/>
    </row>
    <row r="342" spans="3:17">
      <c r="C342" s="20"/>
      <c r="Q342" s="1"/>
    </row>
    <row r="343" spans="3:17">
      <c r="C343" s="20"/>
      <c r="Q343" s="1"/>
    </row>
    <row r="344" spans="3:17">
      <c r="C344" s="20"/>
      <c r="Q344" s="1"/>
    </row>
    <row r="345" spans="3:17">
      <c r="C345" s="20"/>
      <c r="Q345" s="1"/>
    </row>
    <row r="346" spans="3:17">
      <c r="C346" s="20"/>
      <c r="Q346" s="1"/>
    </row>
    <row r="347" spans="3:17">
      <c r="C347" s="20"/>
      <c r="Q347" s="1"/>
    </row>
    <row r="348" spans="3:17">
      <c r="C348" s="20"/>
      <c r="Q348" s="1"/>
    </row>
    <row r="349" spans="3:17">
      <c r="C349" s="20"/>
      <c r="Q349" s="1"/>
    </row>
    <row r="350" spans="3:17">
      <c r="C350" s="20"/>
      <c r="Q350" s="1"/>
    </row>
    <row r="351" spans="3:17">
      <c r="C351" s="20"/>
      <c r="Q351" s="1"/>
    </row>
    <row r="352" spans="3:17">
      <c r="C352" s="20"/>
      <c r="Q352" s="1"/>
    </row>
    <row r="353" spans="3:17">
      <c r="C353" s="20"/>
      <c r="Q353" s="1"/>
    </row>
    <row r="354" spans="3:17">
      <c r="C354" s="20"/>
      <c r="Q354" s="1"/>
    </row>
    <row r="355" spans="3:17">
      <c r="C355" s="20"/>
      <c r="Q355" s="1"/>
    </row>
    <row r="356" spans="3:17">
      <c r="C356" s="20"/>
      <c r="Q356" s="1"/>
    </row>
    <row r="357" spans="3:17">
      <c r="C357" s="20"/>
      <c r="Q357" s="1"/>
    </row>
    <row r="358" spans="3:17">
      <c r="C358" s="20"/>
      <c r="Q358" s="1"/>
    </row>
    <row r="359" spans="3:17">
      <c r="C359" s="20"/>
      <c r="Q359" s="1"/>
    </row>
    <row r="360" spans="3:17">
      <c r="C360" s="20"/>
      <c r="Q360" s="1"/>
    </row>
    <row r="361" spans="3:17">
      <c r="C361" s="20"/>
      <c r="Q361" s="1"/>
    </row>
    <row r="362" spans="3:17">
      <c r="C362" s="20"/>
      <c r="Q362" s="1"/>
    </row>
    <row r="363" spans="3:17">
      <c r="C363" s="20"/>
      <c r="Q363" s="1"/>
    </row>
    <row r="364" spans="3:17">
      <c r="C364" s="20"/>
      <c r="Q364" s="1"/>
    </row>
    <row r="365" spans="3:17">
      <c r="C365" s="20"/>
      <c r="Q365" s="1"/>
    </row>
    <row r="366" spans="3:17">
      <c r="C366" s="20"/>
      <c r="Q366" s="1"/>
    </row>
    <row r="367" spans="3:17">
      <c r="C367" s="20"/>
      <c r="Q367" s="1"/>
    </row>
    <row r="368" spans="3:17">
      <c r="C368" s="20"/>
      <c r="Q368" s="1"/>
    </row>
    <row r="369" spans="3:17">
      <c r="C369" s="20"/>
      <c r="Q369" s="1"/>
    </row>
    <row r="370" spans="3:17">
      <c r="C370" s="20"/>
      <c r="Q370" s="1"/>
    </row>
    <row r="371" spans="3:17">
      <c r="C371" s="20"/>
      <c r="Q371" s="1"/>
    </row>
    <row r="372" spans="3:17">
      <c r="C372" s="20"/>
      <c r="Q372" s="1"/>
    </row>
    <row r="373" spans="3:17">
      <c r="C373" s="20"/>
      <c r="Q373" s="1"/>
    </row>
    <row r="374" spans="3:17">
      <c r="C374" s="20"/>
      <c r="Q374" s="1"/>
    </row>
    <row r="375" spans="3:17">
      <c r="C375" s="20"/>
      <c r="Q375" s="1"/>
    </row>
    <row r="376" spans="3:17">
      <c r="C376" s="20"/>
      <c r="Q376" s="1"/>
    </row>
    <row r="377" spans="3:17">
      <c r="C377" s="20"/>
      <c r="Q377" s="1"/>
    </row>
    <row r="378" spans="3:17">
      <c r="C378" s="20"/>
      <c r="Q378" s="1"/>
    </row>
    <row r="379" spans="3:17">
      <c r="C379" s="20"/>
      <c r="Q379" s="1"/>
    </row>
    <row r="380" spans="3:17">
      <c r="C380" s="20"/>
      <c r="Q380" s="1"/>
    </row>
    <row r="381" spans="3:17">
      <c r="C381" s="20"/>
      <c r="Q381" s="1"/>
    </row>
    <row r="382" spans="3:17">
      <c r="C382" s="20"/>
      <c r="Q382" s="1"/>
    </row>
    <row r="383" spans="3:17">
      <c r="C383" s="20"/>
      <c r="Q383" s="1"/>
    </row>
    <row r="384" spans="3:17">
      <c r="C384" s="20"/>
      <c r="Q384" s="1"/>
    </row>
    <row r="385" spans="3:17">
      <c r="C385" s="20"/>
      <c r="Q385" s="1"/>
    </row>
    <row r="386" spans="3:17">
      <c r="C386" s="20"/>
      <c r="Q386" s="1"/>
    </row>
    <row r="387" spans="3:17">
      <c r="C387" s="20"/>
      <c r="Q387" s="1"/>
    </row>
    <row r="388" spans="3:17">
      <c r="C388" s="20"/>
      <c r="Q388" s="1"/>
    </row>
    <row r="389" spans="3:17">
      <c r="C389" s="20"/>
      <c r="Q389" s="1"/>
    </row>
    <row r="390" spans="3:17">
      <c r="C390" s="20"/>
      <c r="Q390" s="1"/>
    </row>
    <row r="391" spans="3:17">
      <c r="C391" s="20"/>
      <c r="Q391" s="1"/>
    </row>
    <row r="392" spans="3:17">
      <c r="C392" s="20"/>
      <c r="Q392" s="1"/>
    </row>
    <row r="393" spans="3:17">
      <c r="C393" s="20"/>
      <c r="Q393" s="1"/>
    </row>
    <row r="394" spans="3:17">
      <c r="C394" s="20"/>
      <c r="Q394" s="1"/>
    </row>
    <row r="395" spans="3:17">
      <c r="C395" s="20"/>
      <c r="Q395" s="1"/>
    </row>
    <row r="396" spans="3:17">
      <c r="C396" s="20"/>
      <c r="Q396" s="1"/>
    </row>
    <row r="397" spans="3:17">
      <c r="C397" s="20"/>
      <c r="Q397" s="1"/>
    </row>
    <row r="398" spans="3:17">
      <c r="C398" s="20"/>
      <c r="Q398" s="1"/>
    </row>
    <row r="399" spans="3:17">
      <c r="C399" s="20"/>
      <c r="Q399" s="1"/>
    </row>
    <row r="400" spans="3:17">
      <c r="C400" s="20"/>
      <c r="Q400" s="1"/>
    </row>
    <row r="401" spans="3:17">
      <c r="C401" s="20"/>
      <c r="Q401" s="1"/>
    </row>
    <row r="402" spans="3:17">
      <c r="C402" s="20"/>
      <c r="Q402" s="1"/>
    </row>
    <row r="403" spans="3:17">
      <c r="C403" s="20"/>
      <c r="Q403" s="1"/>
    </row>
    <row r="404" spans="3:17">
      <c r="C404" s="20"/>
      <c r="Q404" s="1"/>
    </row>
    <row r="405" spans="3:17">
      <c r="C405" s="20"/>
      <c r="Q405" s="1"/>
    </row>
    <row r="406" spans="3:17">
      <c r="C406" s="20"/>
      <c r="Q406" s="1"/>
    </row>
    <row r="407" spans="3:17">
      <c r="C407" s="20"/>
      <c r="Q407" s="1"/>
    </row>
    <row r="408" spans="3:17">
      <c r="C408" s="20"/>
      <c r="Q408" s="1"/>
    </row>
    <row r="409" spans="3:17">
      <c r="C409" s="20"/>
      <c r="Q409" s="1"/>
    </row>
    <row r="410" spans="3:17">
      <c r="C410" s="20"/>
      <c r="Q410" s="1"/>
    </row>
    <row r="411" spans="3:17">
      <c r="C411" s="20"/>
      <c r="Q411" s="1"/>
    </row>
    <row r="412" spans="3:17">
      <c r="C412" s="20"/>
      <c r="Q412" s="1"/>
    </row>
    <row r="413" spans="3:17">
      <c r="C413" s="20"/>
      <c r="Q413" s="1"/>
    </row>
    <row r="414" spans="3:17">
      <c r="C414" s="20"/>
      <c r="Q414" s="1"/>
    </row>
    <row r="415" spans="3:17">
      <c r="C415" s="20"/>
      <c r="Q415" s="1"/>
    </row>
    <row r="416" spans="3:17">
      <c r="C416" s="20"/>
      <c r="Q416" s="1"/>
    </row>
    <row r="417" spans="17:17">
      <c r="Q417" s="1"/>
    </row>
    <row r="418" spans="17:17">
      <c r="Q418" s="1"/>
    </row>
    <row r="419" spans="17:17">
      <c r="Q419" s="1"/>
    </row>
    <row r="420" spans="17:17">
      <c r="Q420" s="1"/>
    </row>
    <row r="421" spans="17:17">
      <c r="Q421" s="1"/>
    </row>
    <row r="422" spans="17:17">
      <c r="Q422" s="1"/>
    </row>
  </sheetData>
  <conditionalFormatting sqref="M6">
    <cfRule type="cellIs" dxfId="15" priority="1" stopIfTrue="1" operator="notEqual">
      <formula>$AT6</formula>
    </cfRule>
  </conditionalFormatting>
  <printOptions verticalCentered="1"/>
  <pageMargins left="0.59055118110236227" right="0.59055118110236227" top="0.78740157480314965" bottom="0.78740157480314965" header="0.39370078740157483" footer="0.39370078740157483"/>
  <pageSetup paperSize="9" scale="70" fitToHeight="2" orientation="portrait" horizontalDpi="4294967293" verticalDpi="300" r:id="rId1"/>
  <headerFooter alignWithMargins="0">
    <oddHeader>&amp;F</oddHeader>
    <oddFooter>&amp;L&amp;"Times New Roman,Bold"&amp;8&amp;A, &amp;F&amp;C&amp;"Times New Roman,Bold"&amp;8&amp;P of &amp;N&amp;R&amp;"Times New Roman,Bold"&amp;8Printed 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B1:I16"/>
  <sheetViews>
    <sheetView topLeftCell="B1" workbookViewId="0">
      <pane xSplit="1" ySplit="1" topLeftCell="C2" activePane="bottomRight" state="frozen"/>
      <selection activeCell="F41" sqref="F41"/>
      <selection pane="topRight" activeCell="F41" sqref="F41"/>
      <selection pane="bottomLeft" activeCell="F41" sqref="F41"/>
      <selection pane="bottomRight" activeCell="H29" sqref="H29"/>
    </sheetView>
  </sheetViews>
  <sheetFormatPr defaultRowHeight="12.75"/>
  <cols>
    <col min="4" max="4" width="32.85546875" bestFit="1" customWidth="1"/>
    <col min="9" max="9" width="3" customWidth="1"/>
  </cols>
  <sheetData>
    <row r="1" spans="2:9" ht="15.75">
      <c r="B1" s="9" t="s">
        <v>0</v>
      </c>
      <c r="C1" s="10"/>
      <c r="D1" s="11" t="s">
        <v>1</v>
      </c>
      <c r="E1" s="12" t="s">
        <v>2</v>
      </c>
      <c r="F1" s="12" t="s">
        <v>3</v>
      </c>
      <c r="G1" s="12" t="s">
        <v>6</v>
      </c>
      <c r="I1" s="59" t="s">
        <v>46</v>
      </c>
    </row>
    <row r="2" spans="2:9">
      <c r="B2" s="13"/>
      <c r="C2" s="14"/>
      <c r="D2" s="1"/>
      <c r="E2" s="15"/>
      <c r="F2" s="15"/>
      <c r="G2" s="16"/>
    </row>
    <row r="3" spans="2:9" s="51" customFormat="1">
      <c r="B3" s="13"/>
      <c r="C3" s="14"/>
      <c r="D3" s="2" t="str">
        <f>"Opening Balance 1st April " &amp; Year_value</f>
        <v>Opening Balance 1st April 2012</v>
      </c>
      <c r="E3" s="15"/>
      <c r="F3" s="15"/>
      <c r="G3" s="15">
        <f>Cash_balance_ye</f>
        <v>24.98</v>
      </c>
    </row>
    <row r="4" spans="2:9">
      <c r="B4" s="13"/>
      <c r="C4" s="14"/>
      <c r="D4" s="1"/>
      <c r="E4" s="15"/>
      <c r="F4" s="15"/>
      <c r="G4" s="16"/>
    </row>
    <row r="5" spans="2:9">
      <c r="B5" s="17"/>
      <c r="C5" s="14"/>
      <c r="D5" s="1"/>
      <c r="E5" s="16"/>
      <c r="F5" s="16"/>
      <c r="G5" s="16">
        <f ca="1">OFFSET(G5,-1,0)+F5-E5+Opening_cash</f>
        <v>24.98</v>
      </c>
    </row>
    <row r="6" spans="2:9">
      <c r="B6" s="17"/>
      <c r="C6" s="14"/>
      <c r="D6" s="1"/>
      <c r="E6" s="16"/>
      <c r="F6" s="16"/>
      <c r="G6" s="16">
        <f ca="1">OFFSET(G6,-1,0)+F6-E6</f>
        <v>24.98</v>
      </c>
    </row>
    <row r="7" spans="2:9">
      <c r="B7" s="17"/>
      <c r="C7" s="41"/>
      <c r="D7" s="1"/>
      <c r="E7" s="16"/>
      <c r="F7" s="16"/>
      <c r="G7" s="16">
        <f ca="1">OFFSET(G7,-1,0)+F7-E7</f>
        <v>24.98</v>
      </c>
    </row>
    <row r="8" spans="2:9">
      <c r="B8" s="17"/>
      <c r="C8" s="41"/>
      <c r="D8" s="1"/>
      <c r="E8" s="16"/>
      <c r="F8" s="16"/>
      <c r="G8" s="16">
        <f ca="1">OFFSET(G8,-1,0)+F8-E8</f>
        <v>24.98</v>
      </c>
    </row>
    <row r="9" spans="2:9">
      <c r="B9" s="17"/>
      <c r="C9" s="41"/>
      <c r="D9" s="1"/>
      <c r="E9" s="16"/>
      <c r="F9" s="16"/>
      <c r="G9" s="16">
        <f ca="1">OFFSET(G9,-1,0)+F9-E9</f>
        <v>24.98</v>
      </c>
    </row>
    <row r="10" spans="2:9">
      <c r="B10" s="17"/>
      <c r="C10" s="41"/>
      <c r="D10" s="1"/>
      <c r="E10" s="16"/>
      <c r="F10" s="16"/>
      <c r="G10" s="16">
        <f ca="1">OFFSET(G10,-1,0)+F10-E10</f>
        <v>24.98</v>
      </c>
    </row>
    <row r="11" spans="2:9" s="51" customFormat="1" ht="13.5" thickBot="1">
      <c r="B11" s="2"/>
      <c r="C11" s="2"/>
      <c r="D11" s="2" t="str">
        <f>"Closing Balance at " &amp; Report_end_date</f>
        <v>Closing Balance at 31 March 2013</v>
      </c>
      <c r="E11" s="2"/>
      <c r="F11" s="2"/>
      <c r="G11" s="62">
        <f ca="1">G10</f>
        <v>24.98</v>
      </c>
    </row>
    <row r="12" spans="2:9" ht="13.5" thickTop="1">
      <c r="B12" s="1"/>
      <c r="C12" s="1"/>
      <c r="D12" s="1"/>
      <c r="E12" s="1"/>
      <c r="F12" s="1"/>
      <c r="G12" s="1"/>
    </row>
    <row r="13" spans="2:9">
      <c r="B13" s="1"/>
      <c r="C13" s="1"/>
      <c r="D13" s="1"/>
      <c r="E13" s="1"/>
      <c r="F13" s="1"/>
      <c r="G13" s="1"/>
    </row>
    <row r="14" spans="2:9">
      <c r="B14" s="1"/>
      <c r="C14" s="1"/>
      <c r="D14" s="21" t="s">
        <v>5</v>
      </c>
      <c r="E14" s="16">
        <f>SUM(E$5:E11)</f>
        <v>0</v>
      </c>
      <c r="F14" s="16">
        <f>SUM(F$5:F11)</f>
        <v>0</v>
      </c>
      <c r="G14" s="25">
        <f>F14-E14</f>
        <v>0</v>
      </c>
    </row>
    <row r="15" spans="2:9">
      <c r="B15" s="1"/>
      <c r="C15" s="1"/>
      <c r="D15" s="1"/>
      <c r="E15" s="1"/>
      <c r="F15" s="1"/>
      <c r="G15" s="1"/>
    </row>
    <row r="16" spans="2:9">
      <c r="B16" s="1"/>
      <c r="C16" s="1"/>
      <c r="D16" s="60" t="s">
        <v>47</v>
      </c>
      <c r="E16" s="61">
        <f>E14-SUMPRODUCT((Transaction_Number="Cash")*Debit)</f>
        <v>0</v>
      </c>
      <c r="F16" s="61">
        <f>F14-SUMPRODUCT((Transaction_Number="Cash")*Credit)</f>
        <v>0</v>
      </c>
      <c r="G16" s="25"/>
    </row>
  </sheetData>
  <phoneticPr fontId="0" type="noConversion"/>
  <printOptions verticalCentered="1"/>
  <pageMargins left="0.59055118110236227" right="0.59055118110236227" top="0.78740157480314965" bottom="0.78740157480314965" header="0.39370078740157483" footer="0.39370078740157483"/>
  <pageSetup paperSize="9" orientation="landscape" horizontalDpi="4294967293" verticalDpi="1200" r:id="rId1"/>
  <headerFooter alignWithMargins="0">
    <oddHeader>&amp;F</oddHeader>
    <oddFooter>&amp;L&amp;"Times New Roman,Bold"&amp;8&amp;A, &amp;F&amp;C&amp;"Times New Roman,Bold"&amp;8&amp;P of &amp;N&amp;R&amp;"Times New Roman,Bold"&amp;8Printed 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0"/>
  <dimension ref="B3:G24"/>
  <sheetViews>
    <sheetView workbookViewId="0">
      <selection activeCell="E30" sqref="E30"/>
    </sheetView>
  </sheetViews>
  <sheetFormatPr defaultRowHeight="12.75"/>
  <cols>
    <col min="1" max="1" width="9.140625" style="1"/>
    <col min="2" max="2" width="27.28515625" style="1" bestFit="1" customWidth="1"/>
    <col min="3" max="16384" width="9.140625" style="1"/>
  </cols>
  <sheetData>
    <row r="3" spans="2:7">
      <c r="B3" s="2" t="s">
        <v>17</v>
      </c>
    </row>
    <row r="5" spans="2:7">
      <c r="C5" s="7" t="s">
        <v>2</v>
      </c>
      <c r="D5" s="7" t="s">
        <v>3</v>
      </c>
    </row>
    <row r="6" spans="2:7">
      <c r="B6" s="1" t="s">
        <v>109</v>
      </c>
      <c r="C6" s="25">
        <f>HSBC_debit_totals</f>
        <v>57791.119999999995</v>
      </c>
      <c r="D6" s="25">
        <f>HSBC_credit_total</f>
        <v>37157.949999999997</v>
      </c>
    </row>
    <row r="7" spans="2:7">
      <c r="B7" s="1" t="s">
        <v>77</v>
      </c>
      <c r="C7" s="25" t="e">
        <f>#REF!</f>
        <v>#REF!</v>
      </c>
      <c r="D7" s="25" t="e">
        <f>#REF!</f>
        <v>#REF!</v>
      </c>
    </row>
    <row r="8" spans="2:7">
      <c r="B8" s="1" t="s">
        <v>38</v>
      </c>
      <c r="C8" s="25">
        <f>'Cash on Hand'!E14</f>
        <v>0</v>
      </c>
      <c r="D8" s="25">
        <f>'Cash on Hand'!F14</f>
        <v>0</v>
      </c>
    </row>
    <row r="9" spans="2:7" ht="13.5" thickBot="1">
      <c r="C9" s="26" t="e">
        <f>SUM(C6:C8)</f>
        <v>#REF!</v>
      </c>
      <c r="D9" s="26" t="e">
        <f>SUM(D6:D8)</f>
        <v>#REF!</v>
      </c>
      <c r="E9" s="25" t="e">
        <f>C9-D9</f>
        <v>#REF!</v>
      </c>
    </row>
    <row r="10" spans="2:7" ht="13.5" thickTop="1"/>
    <row r="11" spans="2:7">
      <c r="B11" s="2" t="s">
        <v>18</v>
      </c>
    </row>
    <row r="13" spans="2:7" ht="13.5" thickBot="1">
      <c r="B13" s="1" t="s">
        <v>19</v>
      </c>
      <c r="C13" s="26">
        <f>Re_debit_total</f>
        <v>32305.170000000002</v>
      </c>
      <c r="D13" s="26">
        <f>Re_credit_total</f>
        <v>36675.410000000003</v>
      </c>
      <c r="E13" s="25">
        <f>C13-D13</f>
        <v>-4370.2400000000016</v>
      </c>
    </row>
    <row r="14" spans="2:7" ht="13.5" thickTop="1"/>
    <row r="15" spans="2:7">
      <c r="F15" s="25"/>
      <c r="G15" s="25"/>
    </row>
    <row r="16" spans="2:7">
      <c r="B16" s="2" t="s">
        <v>20</v>
      </c>
    </row>
    <row r="17" spans="2:7">
      <c r="G17" s="25"/>
    </row>
    <row r="18" spans="2:7">
      <c r="B18" s="1" t="s">
        <v>21</v>
      </c>
      <c r="C18" s="25"/>
      <c r="D18" s="25">
        <f>Total_general_receipts</f>
        <v>33675.410000000003</v>
      </c>
    </row>
    <row r="19" spans="2:7">
      <c r="B19" s="1" t="s">
        <v>152</v>
      </c>
      <c r="C19" s="25">
        <f>Total_special_expenditure</f>
        <v>2801.2</v>
      </c>
      <c r="D19" s="25">
        <f>Total_special_events</f>
        <v>3000</v>
      </c>
    </row>
    <row r="20" spans="2:7">
      <c r="B20" s="1" t="s">
        <v>22</v>
      </c>
      <c r="C20" s="25">
        <f>Total_general_expenditure</f>
        <v>29503.969999999998</v>
      </c>
      <c r="D20" s="25"/>
    </row>
    <row r="21" spans="2:7" ht="13.5" thickBot="1">
      <c r="C21" s="26">
        <f>SUM(C18:C20)</f>
        <v>32305.17</v>
      </c>
      <c r="D21" s="26">
        <f>SUM(D18:D20)</f>
        <v>36675.410000000003</v>
      </c>
      <c r="E21" s="25">
        <f>C21-D21</f>
        <v>-4370.2400000000052</v>
      </c>
    </row>
    <row r="22" spans="2:7" ht="13.5" thickTop="1"/>
    <row r="23" spans="2:7">
      <c r="F23" s="25"/>
      <c r="G23" s="25"/>
    </row>
    <row r="24" spans="2:7">
      <c r="E24" s="25">
        <f>E21-E13</f>
        <v>0</v>
      </c>
    </row>
  </sheetData>
  <phoneticPr fontId="0" type="noConversion"/>
  <pageMargins left="0.75" right="0.75" top="1" bottom="1" header="0.5" footer="0.5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dimension ref="A1:J29"/>
  <sheetViews>
    <sheetView workbookViewId="0">
      <selection activeCell="E35" sqref="E35"/>
    </sheetView>
  </sheetViews>
  <sheetFormatPr defaultRowHeight="12.75"/>
  <cols>
    <col min="1" max="1" width="10.28515625" style="1" customWidth="1"/>
    <col min="2" max="2" width="36.5703125" style="1" customWidth="1"/>
    <col min="3" max="3" width="13.140625" style="1" bestFit="1" customWidth="1"/>
    <col min="4" max="4" width="6.7109375" style="1" customWidth="1"/>
    <col min="5" max="5" width="18.140625" style="1" customWidth="1"/>
    <col min="6" max="16384" width="9.140625" style="1"/>
  </cols>
  <sheetData>
    <row r="1" spans="1:10" ht="15.75">
      <c r="A1" s="24" t="s">
        <v>97</v>
      </c>
    </row>
    <row r="3" spans="1:10">
      <c r="A3" s="2" t="s">
        <v>98</v>
      </c>
      <c r="B3" s="2" t="s">
        <v>52</v>
      </c>
      <c r="C3" s="2" t="s">
        <v>99</v>
      </c>
      <c r="D3" s="2" t="s">
        <v>101</v>
      </c>
      <c r="E3" s="2" t="s">
        <v>100</v>
      </c>
      <c r="F3" s="2" t="s">
        <v>117</v>
      </c>
    </row>
    <row r="4" spans="1:10">
      <c r="A4" s="50">
        <v>41164</v>
      </c>
      <c r="B4" s="1" t="s">
        <v>255</v>
      </c>
      <c r="C4" s="3">
        <v>1150</v>
      </c>
      <c r="D4" s="42" t="s">
        <v>256</v>
      </c>
      <c r="E4" s="1" t="s">
        <v>156</v>
      </c>
      <c r="F4" s="3">
        <f>IF(D4="N",C4,0)</f>
        <v>1150</v>
      </c>
      <c r="J4" s="1" t="s">
        <v>156</v>
      </c>
    </row>
    <row r="5" spans="1:10">
      <c r="A5" s="50"/>
      <c r="C5" s="3"/>
      <c r="D5" s="42"/>
      <c r="F5" s="3">
        <f>IF(D5="N",C5,0)</f>
        <v>0</v>
      </c>
    </row>
    <row r="6" spans="1:10">
      <c r="A6" s="50"/>
      <c r="C6" s="3"/>
      <c r="D6" s="42"/>
      <c r="F6" s="3">
        <f>IF(D6="N",C6,0)</f>
        <v>0</v>
      </c>
    </row>
    <row r="7" spans="1:10">
      <c r="A7" s="50"/>
      <c r="C7" s="3"/>
      <c r="D7" s="42"/>
      <c r="F7" s="3">
        <f t="shared" ref="F7:F14" si="0">IF(D7="N",C7,0)</f>
        <v>0</v>
      </c>
    </row>
    <row r="8" spans="1:10">
      <c r="A8" s="50"/>
      <c r="C8" s="3"/>
      <c r="D8" s="81"/>
      <c r="F8" s="3">
        <f t="shared" si="0"/>
        <v>0</v>
      </c>
    </row>
    <row r="9" spans="1:10">
      <c r="A9" s="50"/>
      <c r="C9" s="3"/>
      <c r="D9" s="81"/>
      <c r="F9" s="3">
        <f t="shared" si="0"/>
        <v>0</v>
      </c>
    </row>
    <row r="10" spans="1:10">
      <c r="A10" s="50"/>
      <c r="C10" s="3"/>
      <c r="D10" s="81"/>
      <c r="F10" s="3">
        <f t="shared" si="0"/>
        <v>0</v>
      </c>
    </row>
    <row r="11" spans="1:10">
      <c r="A11" s="50"/>
      <c r="C11" s="3"/>
      <c r="D11" s="81"/>
      <c r="F11" s="3">
        <f t="shared" si="0"/>
        <v>0</v>
      </c>
    </row>
    <row r="12" spans="1:10">
      <c r="C12" s="3"/>
      <c r="D12" s="42"/>
      <c r="F12" s="3">
        <f t="shared" si="0"/>
        <v>0</v>
      </c>
    </row>
    <row r="13" spans="1:10">
      <c r="C13" s="3"/>
      <c r="D13" s="42"/>
      <c r="F13" s="3">
        <f t="shared" si="0"/>
        <v>0</v>
      </c>
    </row>
    <row r="14" spans="1:10">
      <c r="C14" s="69"/>
      <c r="D14" s="82"/>
      <c r="F14" s="3">
        <f t="shared" si="0"/>
        <v>0</v>
      </c>
      <c r="G14" s="69"/>
    </row>
    <row r="15" spans="1:10">
      <c r="C15" s="3"/>
    </row>
    <row r="17" spans="4:6">
      <c r="D17" s="1" t="s">
        <v>5</v>
      </c>
    </row>
    <row r="18" spans="4:6" ht="13.5" customHeight="1">
      <c r="E18" s="1" t="s">
        <v>92</v>
      </c>
      <c r="F18" s="3">
        <f t="shared" ref="F18:F28" si="1">SUMIF(E$4:E$14,E18,F$4:F$14)</f>
        <v>0</v>
      </c>
    </row>
    <row r="19" spans="4:6" ht="13.5" customHeight="1">
      <c r="E19" s="1" t="s">
        <v>121</v>
      </c>
      <c r="F19" s="3">
        <f t="shared" si="1"/>
        <v>0</v>
      </c>
    </row>
    <row r="20" spans="4:6" ht="13.5" customHeight="1">
      <c r="E20" s="1" t="s">
        <v>124</v>
      </c>
      <c r="F20" s="3">
        <f t="shared" si="1"/>
        <v>0</v>
      </c>
    </row>
    <row r="21" spans="4:6">
      <c r="E21" s="1" t="s">
        <v>93</v>
      </c>
      <c r="F21" s="3">
        <f t="shared" si="1"/>
        <v>0</v>
      </c>
    </row>
    <row r="22" spans="4:6">
      <c r="E22" s="1" t="s">
        <v>94</v>
      </c>
      <c r="F22" s="3">
        <f t="shared" si="1"/>
        <v>0</v>
      </c>
    </row>
    <row r="23" spans="4:6">
      <c r="E23" s="1" t="s">
        <v>95</v>
      </c>
      <c r="F23" s="3">
        <f t="shared" si="1"/>
        <v>0</v>
      </c>
    </row>
    <row r="24" spans="4:6">
      <c r="E24" s="1" t="s">
        <v>96</v>
      </c>
      <c r="F24" s="3">
        <f t="shared" si="1"/>
        <v>0</v>
      </c>
    </row>
    <row r="25" spans="4:6">
      <c r="E25" s="1" t="s">
        <v>102</v>
      </c>
      <c r="F25" s="3">
        <f t="shared" si="1"/>
        <v>0</v>
      </c>
    </row>
    <row r="26" spans="4:6">
      <c r="E26" s="1" t="s">
        <v>106</v>
      </c>
      <c r="F26" s="3">
        <f t="shared" si="1"/>
        <v>0</v>
      </c>
    </row>
    <row r="27" spans="4:6">
      <c r="E27" s="1" t="s">
        <v>133</v>
      </c>
      <c r="F27" s="3">
        <f t="shared" si="1"/>
        <v>0</v>
      </c>
    </row>
    <row r="28" spans="4:6">
      <c r="E28" s="1" t="s">
        <v>104</v>
      </c>
      <c r="F28" s="3">
        <f t="shared" si="1"/>
        <v>0</v>
      </c>
    </row>
    <row r="29" spans="4:6">
      <c r="E29" s="1" t="s">
        <v>156</v>
      </c>
      <c r="F29" s="3">
        <f t="shared" ref="F29" si="2">SUMIF(E$4:E$14,E29,F$4:F$14)</f>
        <v>1150</v>
      </c>
    </row>
  </sheetData>
  <phoneticPr fontId="0" type="noConversion"/>
  <dataValidations count="1">
    <dataValidation type="list" allowBlank="1" showInputMessage="1" showErrorMessage="1" sqref="E4:E14">
      <formula1>Expenditure_headings</formula1>
    </dataValidation>
  </dataValidations>
  <pageMargins left="0.75" right="0.75" top="1" bottom="1" header="0.5" footer="0.5"/>
  <pageSetup paperSize="9" orientation="portrait" horizontalDpi="4294967293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77</vt:i4>
      </vt:variant>
    </vt:vector>
  </HeadingPairs>
  <TitlesOfParts>
    <vt:vector size="88" baseType="lpstr">
      <vt:lpstr>Committee Summary</vt:lpstr>
      <vt:lpstr>Reporting</vt:lpstr>
      <vt:lpstr>Sources&amp;Uses</vt:lpstr>
      <vt:lpstr>ReceiptsExpenditure</vt:lpstr>
      <vt:lpstr>HSBC Current Account</vt:lpstr>
      <vt:lpstr>HSBC Savings Account</vt:lpstr>
      <vt:lpstr>Cash on Hand</vt:lpstr>
      <vt:lpstr>Check sheet</vt:lpstr>
      <vt:lpstr>Committed Expenditure</vt:lpstr>
      <vt:lpstr>Coach Education</vt:lpstr>
      <vt:lpstr>Variables</vt:lpstr>
      <vt:lpstr>All_expenditure</vt:lpstr>
      <vt:lpstr>All_sources</vt:lpstr>
      <vt:lpstr>Annual_awards_credit_total</vt:lpstr>
      <vt:lpstr>Annual_awards_debit_total</vt:lpstr>
      <vt:lpstr>'HSBC Savings Account'!Bank_transaction_numbers</vt:lpstr>
      <vt:lpstr>Bank_transaction_numbers</vt:lpstr>
      <vt:lpstr>BTF_AG_Credit</vt:lpstr>
      <vt:lpstr>BTF_AG_credit_total</vt:lpstr>
      <vt:lpstr>BTF_AG_Debit</vt:lpstr>
      <vt:lpstr>BTF_AG_debit_total</vt:lpstr>
      <vt:lpstr>BTF_RG_credit_total</vt:lpstr>
      <vt:lpstr>BTF_RG_debit_total</vt:lpstr>
      <vt:lpstr>BTFRG_Credit</vt:lpstr>
      <vt:lpstr>BTFRG_Debit</vt:lpstr>
      <vt:lpstr>Cash_balance_ye</vt:lpstr>
      <vt:lpstr>Category</vt:lpstr>
      <vt:lpstr>Closing_cash</vt:lpstr>
      <vt:lpstr>Club_accreditation_credit_total</vt:lpstr>
      <vt:lpstr>Club_accreditation_debit_total</vt:lpstr>
      <vt:lpstr>Club_quality_credit</vt:lpstr>
      <vt:lpstr>Club_quality_debit</vt:lpstr>
      <vt:lpstr>Coaching_credit_total</vt:lpstr>
      <vt:lpstr>Coaching_debit_total</vt:lpstr>
      <vt:lpstr>Credit</vt:lpstr>
      <vt:lpstr>Debit</vt:lpstr>
      <vt:lpstr>Event_name</vt:lpstr>
      <vt:lpstr>Event_quality_credit</vt:lpstr>
      <vt:lpstr>Event_quality_debit</vt:lpstr>
      <vt:lpstr>Expenditure_headings</vt:lpstr>
      <vt:lpstr>'HSBC Savings Account'!HSBC_closing_balance</vt:lpstr>
      <vt:lpstr>HSBC_closing_balance</vt:lpstr>
      <vt:lpstr>HSBC_closing_balance_savings</vt:lpstr>
      <vt:lpstr>'HSBC Savings Account'!HSBC_credit_total</vt:lpstr>
      <vt:lpstr>HSBC_credit_total</vt:lpstr>
      <vt:lpstr>'HSBC Savings Account'!HSBC_debit_totals</vt:lpstr>
      <vt:lpstr>HSBC_debit_totals</vt:lpstr>
      <vt:lpstr>'HSBC Savings Account'!HSBC_opening_balance</vt:lpstr>
      <vt:lpstr>HSBC_opening_balance</vt:lpstr>
      <vt:lpstr>HSBC_savings_closing_balance</vt:lpstr>
      <vt:lpstr>HSBC_statement_balance_ye</vt:lpstr>
      <vt:lpstr>HU_DO_credit_total</vt:lpstr>
      <vt:lpstr>HU_DO_debit_total</vt:lpstr>
      <vt:lpstr>HU_WFD_debit_total</vt:lpstr>
      <vt:lpstr>IRC_Credit</vt:lpstr>
      <vt:lpstr>IRC_credit_total</vt:lpstr>
      <vt:lpstr>IRC_Debit</vt:lpstr>
      <vt:lpstr>IRC_debit_total</vt:lpstr>
      <vt:lpstr>Misc_Credit</vt:lpstr>
      <vt:lpstr>Misc_credit_total</vt:lpstr>
      <vt:lpstr>Misc_Debit</vt:lpstr>
      <vt:lpstr>Misc_Debit_total</vt:lpstr>
      <vt:lpstr>Months</vt:lpstr>
      <vt:lpstr>Officiating_credit_total</vt:lpstr>
      <vt:lpstr>Officiating_debit_total</vt:lpstr>
      <vt:lpstr>Opening_cash</vt:lpstr>
      <vt:lpstr>ReceiptsExpenditure!Print_Area</vt:lpstr>
      <vt:lpstr>ReceiptsExpenditure!Print_Titles</vt:lpstr>
      <vt:lpstr>Qual_vol_credit_total</vt:lpstr>
      <vt:lpstr>Qual_vol_debit_total</vt:lpstr>
      <vt:lpstr>RandE_number</vt:lpstr>
      <vt:lpstr>Re_credit_total</vt:lpstr>
      <vt:lpstr>Re_debit_total</vt:lpstr>
      <vt:lpstr>Report_end_date</vt:lpstr>
      <vt:lpstr>Schools_aqua_credit_total</vt:lpstr>
      <vt:lpstr>Schools_aqua_debit_total</vt:lpstr>
      <vt:lpstr>Subs_Credit</vt:lpstr>
      <vt:lpstr>Subs_Debit</vt:lpstr>
      <vt:lpstr>Total_general_expenditure</vt:lpstr>
      <vt:lpstr>Total_general_receipts</vt:lpstr>
      <vt:lpstr>Total_interest</vt:lpstr>
      <vt:lpstr>Total_special_events</vt:lpstr>
      <vt:lpstr>Total_special_expenditure</vt:lpstr>
      <vt:lpstr>Transaction_credit</vt:lpstr>
      <vt:lpstr>Transaction_debit</vt:lpstr>
      <vt:lpstr>Transaction_detail</vt:lpstr>
      <vt:lpstr>Transaction_Number</vt:lpstr>
      <vt:lpstr>Year_value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Malcolm Hooker</dc:creator>
  <cp:lastModifiedBy>Malcolm</cp:lastModifiedBy>
  <cp:lastPrinted>2013-07-11T22:38:27Z</cp:lastPrinted>
  <dcterms:created xsi:type="dcterms:W3CDTF">2000-11-12T14:09:22Z</dcterms:created>
  <dcterms:modified xsi:type="dcterms:W3CDTF">2013-07-15T06:35:22Z</dcterms:modified>
</cp:coreProperties>
</file>